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89" firstSheet="27" activeTab="27"/>
  </bookViews>
  <sheets>
    <sheet name="AIR" sheetId="3" state="hidden" r:id="rId1"/>
    <sheet name="25K8J0095N-022-PC" sheetId="18" state="hidden" r:id="rId2"/>
    <sheet name="25K8J0095N-001-PC" sheetId="17" state="hidden" r:id="rId3"/>
    <sheet name="25K4J0095N-022-PC" sheetId="16" state="hidden" r:id="rId4"/>
    <sheet name="25K4J0095N-001-PC" sheetId="15" state="hidden" r:id="rId5"/>
    <sheet name="36TBSDD11F-410 2796pcs" sheetId="14" state="hidden" r:id="rId6"/>
    <sheet name="4603pcs" sheetId="37" state="hidden" r:id="rId7"/>
    <sheet name="17179pcs" sheetId="36" state="hidden" r:id="rId8"/>
    <sheet name="BHPC" sheetId="69" state="hidden" r:id="rId9"/>
    <sheet name="Mens ghile item 01" sheetId="40" state="hidden" r:id="rId10"/>
    <sheet name="Mens Coat item 02" sheetId="35" state="hidden" r:id="rId11"/>
    <sheet name="Padding item 04" sheetId="38" state="hidden" r:id="rId12"/>
    <sheet name="Ladies Vest item 05" sheetId="46" state="hidden" r:id="rId13"/>
    <sheet name="Ladies Shirt-Blouse item 06&amp;19" sheetId="47" state="hidden" r:id="rId14"/>
    <sheet name="Children Shirt item 07" sheetId="48" state="hidden" r:id="rId15"/>
    <sheet name="Children Suit-Pant item 08&amp;11" sheetId="52" state="hidden" r:id="rId16"/>
    <sheet name="Children Pant Jean item 09" sheetId="54" state="hidden" r:id="rId17"/>
    <sheet name="Children Pants item 10" sheetId="53" state="hidden" r:id="rId18"/>
    <sheet name="Children Skirt item 12" sheetId="45" state="hidden" r:id="rId19"/>
    <sheet name="JKT item 13" sheetId="55" state="hidden" r:id="rId20"/>
    <sheet name="Mens Pant item 14&amp;15" sheetId="44" state="hidden" r:id="rId21"/>
    <sheet name="Mens Short item 16" sheetId="43" state="hidden" r:id="rId22"/>
    <sheet name="Ladies Coat item 17" sheetId="41" state="hidden" r:id="rId23"/>
    <sheet name="Ladies JKT item 18" sheetId="42" state="hidden" r:id="rId24"/>
    <sheet name="FAM item 20" sheetId="39" state="hidden" r:id="rId25"/>
    <sheet name="Ladies Pants items 21&amp;22" sheetId="51" state="hidden" r:id="rId26"/>
    <sheet name="BHPC Pants item 27" sheetId="70" state="hidden" r:id="rId27"/>
    <sheet name="Men Blazer size 38" sheetId="59" r:id="rId28"/>
    <sheet name="Men Blazer size 34-36" sheetId="65" r:id="rId29"/>
    <sheet name="Men Blazer size 40" sheetId="58" r:id="rId30"/>
    <sheet name="Men Blazer size 42" sheetId="57" r:id="rId31"/>
    <sheet name="Men Blazer size 44" sheetId="56" r:id="rId32"/>
    <sheet name="Men Blazer size 48" sheetId="61" r:id="rId33"/>
    <sheet name="Men Blazer size 46" sheetId="60" r:id="rId34"/>
    <sheet name="Men Blazer size 50" sheetId="62" r:id="rId35"/>
    <sheet name="Men Blazer size 52" sheetId="63" r:id="rId36"/>
    <sheet name="Men Blazer size 54" sheetId="64" r:id="rId37"/>
    <sheet name="Men Blazer size 56-58-60-NO" sheetId="66" r:id="rId38"/>
    <sheet name="Men Blazer size 56-58-60-NO (2" sheetId="68" r:id="rId39"/>
    <sheet name="36TBSDD11F-410 2004pcs ECM" sheetId="27" state="hidden" r:id="rId40"/>
    <sheet name="36K821301-001 ECM" sheetId="19" state="hidden" r:id="rId41"/>
    <sheet name="36K8J0027-421-1992pcs" sheetId="20" state="hidden" r:id="rId42"/>
    <sheet name="36K8J0027-421-1200pcs" sheetId="21" state="hidden" r:id="rId43"/>
    <sheet name="36K8J0045-001-7992pcs" sheetId="22" state="hidden" r:id="rId44"/>
    <sheet name="36K8J0045-001-1980pcs" sheetId="23" state="hidden" r:id="rId45"/>
    <sheet name="36K8J0045-022-2400pcs" sheetId="24" state="hidden" r:id="rId46"/>
    <sheet name="36K8J0045-022-1176pcs" sheetId="25" state="hidden" r:id="rId47"/>
    <sheet name="Sheet2" sheetId="10" state="hidden" r:id="rId48"/>
    <sheet name="361043K-404-PC" sheetId="5" state="hidden" r:id="rId49"/>
    <sheet name="361043K-404-PC (2)" sheetId="6" state="hidden" r:id="rId50"/>
    <sheet name="361044K-404-PC" sheetId="7" state="hidden" r:id="rId51"/>
    <sheet name="361044K-404-PC (2)" sheetId="8" state="hidden" r:id="rId52"/>
  </sheets>
  <definedNames>
    <definedName name="_xlnm._FilterDatabase" localSheetId="4" hidden="1">'25K4J0095N-001-PC'!$A$15:$DC$19</definedName>
    <definedName name="_xlnm._FilterDatabase" localSheetId="3" hidden="1">'25K4J0095N-022-PC'!$A$15:$DC$19</definedName>
    <definedName name="_xlnm._FilterDatabase" localSheetId="2" hidden="1">'25K8J0095N-001-PC'!$A$15:$DC$19</definedName>
    <definedName name="_xlnm._FilterDatabase" localSheetId="1" hidden="1">'25K8J0095N-022-PC'!$A$15:$DC$19</definedName>
    <definedName name="_xlnm._FilterDatabase" localSheetId="48" hidden="1">'361043K-404-PC'!$A$15:$DK$23</definedName>
    <definedName name="_xlnm._FilterDatabase" localSheetId="49" hidden="1">'361043K-404-PC (2)'!$A$15:$DK$23</definedName>
    <definedName name="_xlnm._FilterDatabase" localSheetId="50" hidden="1">'361044K-404-PC'!$A$15:$DK$23</definedName>
    <definedName name="_xlnm._FilterDatabase" localSheetId="51" hidden="1">'361044K-404-PC (2)'!$A$15:$DK$23</definedName>
    <definedName name="_xlnm._FilterDatabase" localSheetId="40" hidden="1">'36K821301-001 ECM'!$A$15:$DC$20</definedName>
    <definedName name="_xlnm._FilterDatabase" localSheetId="42" hidden="1">'36K8J0027-421-1200pcs'!$A$15:$DC$20</definedName>
    <definedName name="_xlnm._FilterDatabase" localSheetId="41" hidden="1">'36K8J0027-421-1992pcs'!$A$15:$DC$20</definedName>
    <definedName name="_xlnm._FilterDatabase" localSheetId="44" hidden="1">'36K8J0045-001-1980pcs'!$A$15:$DC$20</definedName>
    <definedName name="_xlnm._FilterDatabase" localSheetId="43" hidden="1">'36K8J0045-001-7992pcs'!$A$15:$DC$20</definedName>
    <definedName name="_xlnm._FilterDatabase" localSheetId="46" hidden="1">'36K8J0045-022-1176pcs'!$A$15:$DC$20</definedName>
    <definedName name="_xlnm._FilterDatabase" localSheetId="45" hidden="1">'36K8J0045-022-2400pcs'!$A$15:$DC$20</definedName>
    <definedName name="_xlnm._FilterDatabase" localSheetId="39" hidden="1">'36TBSDD11F-410 2004pcs ECM'!$A$15:$DC$20</definedName>
    <definedName name="_xlnm._FilterDatabase" localSheetId="5" hidden="1">'36TBSDD11F-410 2796pcs'!$A$15:$DC$20</definedName>
    <definedName name="_xlnm._FilterDatabase" localSheetId="0" hidden="1">AIR!$A$15:$DH$21</definedName>
    <definedName name="_xlnm._FilterDatabase" localSheetId="8" hidden="1">BHPC!$A$13:$J$13</definedName>
    <definedName name="_xlnm._FilterDatabase" localSheetId="26" hidden="1">'BHPC Pants item 27'!$A$15:$CY$20</definedName>
    <definedName name="_xlnm._FilterDatabase" localSheetId="16" hidden="1">'Children Pant Jean item 09'!$A$15:$CY$17</definedName>
    <definedName name="_xlnm._FilterDatabase" localSheetId="17" hidden="1">'Children Pants item 10'!$A$15:$CY$16</definedName>
    <definedName name="_xlnm._FilterDatabase" localSheetId="14" hidden="1">'Children Shirt item 07'!$A$15:$CY$16</definedName>
    <definedName name="_xlnm._FilterDatabase" localSheetId="18" hidden="1">'Children Skirt item 12'!$A$15:$CY$17</definedName>
    <definedName name="_xlnm._FilterDatabase" localSheetId="15" hidden="1">'Children Suit-Pant item 08&amp;11'!$A$15:$CY$17</definedName>
    <definedName name="_xlnm._FilterDatabase" localSheetId="24" hidden="1">'FAM item 20'!$A$15:$CY$20</definedName>
    <definedName name="_xlnm._FilterDatabase" localSheetId="19" hidden="1">'JKT item 13'!$A$15:$CY$19</definedName>
    <definedName name="_xlnm._FilterDatabase" localSheetId="22" hidden="1">'Ladies Coat item 17'!$A$15:$CY$18</definedName>
    <definedName name="_xlnm._FilterDatabase" localSheetId="23" hidden="1">'Ladies JKT item 18'!$A$15:$CY$16</definedName>
    <definedName name="_xlnm._FilterDatabase" localSheetId="25" hidden="1">'Ladies Pants items 21&amp;22'!$A$15:$CY$16</definedName>
    <definedName name="_xlnm._FilterDatabase" localSheetId="13" hidden="1">'Ladies Shirt-Blouse item 06&amp;19'!$A$15:$CY$17</definedName>
    <definedName name="_xlnm._FilterDatabase" localSheetId="12" hidden="1">'Ladies Vest item 05'!$A$15:$CY$17</definedName>
    <definedName name="_xlnm._FilterDatabase" localSheetId="28" hidden="1">'Men Blazer size 34-36'!$A$15:$DD$17</definedName>
    <definedName name="_xlnm._FilterDatabase" localSheetId="27" hidden="1">'Men Blazer size 38'!$A$15:$DD$17</definedName>
    <definedName name="_xlnm._FilterDatabase" localSheetId="29" hidden="1">'Men Blazer size 40'!$A$15:$DD$19</definedName>
    <definedName name="_xlnm._FilterDatabase" localSheetId="30" hidden="1">'Men Blazer size 42'!$A$15:$DD$19</definedName>
    <definedName name="_xlnm._FilterDatabase" localSheetId="31" hidden="1">'Men Blazer size 44'!$A$15:$DD$19</definedName>
    <definedName name="_xlnm._FilterDatabase" localSheetId="33" hidden="1">'Men Blazer size 46'!$A$15:$DD$19</definedName>
    <definedName name="_xlnm._FilterDatabase" localSheetId="32" hidden="1">'Men Blazer size 48'!$A$15:$DD$17</definedName>
    <definedName name="_xlnm._FilterDatabase" localSheetId="34" hidden="1">'Men Blazer size 50'!$A$15:$DD$17</definedName>
    <definedName name="_xlnm._FilterDatabase" localSheetId="35" hidden="1">'Men Blazer size 52'!$A$15:$DD$17</definedName>
    <definedName name="_xlnm._FilterDatabase" localSheetId="36" hidden="1">'Men Blazer size 54'!$A$15:$DD$17</definedName>
    <definedName name="_xlnm._FilterDatabase" localSheetId="37" hidden="1">'Men Blazer size 56-58-60-NO'!$A$15:$DD$17</definedName>
    <definedName name="_xlnm._FilterDatabase" localSheetId="38" hidden="1">'Men Blazer size 56-58-60-NO (2'!$A$15:$DD$17</definedName>
    <definedName name="_xlnm._FilterDatabase" localSheetId="10" hidden="1">'Mens Coat item 02'!$A$15:$CY$20</definedName>
    <definedName name="_xlnm._FilterDatabase" localSheetId="9" hidden="1">'Mens ghile item 01'!$A$15:$CY$19</definedName>
    <definedName name="_xlnm._FilterDatabase" localSheetId="20" hidden="1">'Mens Pant item 14&amp;15'!$A$15:$CY$19</definedName>
    <definedName name="_xlnm._FilterDatabase" localSheetId="21" hidden="1">'Mens Short item 16'!$A$15:$CY$17</definedName>
    <definedName name="_xlnm._FilterDatabase" localSheetId="11" hidden="1">'Padding item 04'!$A$15:$CY$17</definedName>
    <definedName name="_xlnm.Print_Area" localSheetId="7">'17179pcs'!$A$1:$F$65</definedName>
    <definedName name="_xlnm.Print_Area" localSheetId="4">'25K4J0095N-001-PC'!$A$1:$AA$32</definedName>
    <definedName name="_xlnm.Print_Area" localSheetId="3">'25K4J0095N-022-PC'!$A$1:$AA$32</definedName>
    <definedName name="_xlnm.Print_Area" localSheetId="2">'25K8J0095N-001-PC'!$A$1:$AA$36</definedName>
    <definedName name="_xlnm.Print_Area" localSheetId="1">'25K8J0095N-022-PC'!$A$1:$AA$36</definedName>
    <definedName name="_xlnm.Print_Area" localSheetId="48">'361043K-404-PC'!$A$1:$Z$38</definedName>
    <definedName name="_xlnm.Print_Area" localSheetId="49">'361043K-404-PC (2)'!$A$1:$Z$38</definedName>
    <definedName name="_xlnm.Print_Area" localSheetId="50">'361044K-404-PC'!$A$1:$Y$38</definedName>
    <definedName name="_xlnm.Print_Area" localSheetId="51">'361044K-404-PC (2)'!$A$1:$Y$38</definedName>
    <definedName name="_xlnm.Print_Area" localSheetId="40">'36K821301-001 ECM'!$A$1:$AA$38</definedName>
    <definedName name="_xlnm.Print_Area" localSheetId="42">'36K8J0027-421-1200pcs'!$A$1:$AA$38</definedName>
    <definedName name="_xlnm.Print_Area" localSheetId="41">'36K8J0027-421-1992pcs'!$A$1:$AA$38</definedName>
    <definedName name="_xlnm.Print_Area" localSheetId="44">'36K8J0045-001-1980pcs'!$A$1:$AA$38</definedName>
    <definedName name="_xlnm.Print_Area" localSheetId="43">'36K8J0045-001-7992pcs'!$A$1:$AA$38</definedName>
    <definedName name="_xlnm.Print_Area" localSheetId="46">'36K8J0045-022-1176pcs'!$A$1:$AA$38</definedName>
    <definedName name="_xlnm.Print_Area" localSheetId="45">'36K8J0045-022-2400pcs'!$A$1:$AA$38</definedName>
    <definedName name="_xlnm.Print_Area" localSheetId="39">'36TBSDD11F-410 2004pcs ECM'!$A$1:$AB$38</definedName>
    <definedName name="_xlnm.Print_Area" localSheetId="5">'36TBSDD11F-410 2796pcs'!$A$1:$AA$38</definedName>
    <definedName name="_xlnm.Print_Area" localSheetId="6">'4603pcs'!$A$1:$E$23</definedName>
    <definedName name="_xlnm.Print_Area" localSheetId="0">AIR!$A$1:$W$32</definedName>
    <definedName name="_xlnm.Print_Area" localSheetId="26">'BHPC Pants item 27'!$A$1:$X$33</definedName>
    <definedName name="_xlnm.Print_Area" localSheetId="16">'Children Pant Jean item 09'!$A$1:$X$23</definedName>
    <definedName name="_xlnm.Print_Area" localSheetId="17">'Children Pants item 10'!$A$1:$X$21</definedName>
    <definedName name="_xlnm.Print_Area" localSheetId="14">'Children Shirt item 07'!$A$1:$X$21</definedName>
    <definedName name="_xlnm.Print_Area" localSheetId="18">'Children Skirt item 12'!$A$1:$X$22</definedName>
    <definedName name="_xlnm.Print_Area" localSheetId="15">'Children Suit-Pant item 08&amp;11'!$A$1:$X$22</definedName>
    <definedName name="_xlnm.Print_Area" localSheetId="24">'FAM item 20'!$A$1:$X$28</definedName>
    <definedName name="_xlnm.Print_Area" localSheetId="19">'JKT item 13'!$A$1:$X$26</definedName>
    <definedName name="_xlnm.Print_Area" localSheetId="22">'Ladies Coat item 17'!$A$1:$X$23</definedName>
    <definedName name="_xlnm.Print_Area" localSheetId="23">'Ladies JKT item 18'!$A$1:$X$21</definedName>
    <definedName name="_xlnm.Print_Area" localSheetId="25">'Ladies Pants items 21&amp;22'!$A$1:$X$22</definedName>
    <definedName name="_xlnm.Print_Area" localSheetId="13">'Ladies Shirt-Blouse item 06&amp;19'!$A$1:$X$22</definedName>
    <definedName name="_xlnm.Print_Area" localSheetId="12">'Ladies Vest item 05'!$A$1:$X$22</definedName>
    <definedName name="_xlnm.Print_Area" localSheetId="28">'Men Blazer size 34-36'!$A$1:$AC$23</definedName>
    <definedName name="_xlnm.Print_Area" localSheetId="27">'Men Blazer size 38'!$A$1:$AC$22</definedName>
    <definedName name="_xlnm.Print_Area" localSheetId="29">'Men Blazer size 40'!$A$1:$AC$24</definedName>
    <definedName name="_xlnm.Print_Area" localSheetId="30">'Men Blazer size 42'!$A$1:$AC$24</definedName>
    <definedName name="_xlnm.Print_Area" localSheetId="31">'Men Blazer size 44'!$A$1:$AC$24</definedName>
    <definedName name="_xlnm.Print_Area" localSheetId="33">'Men Blazer size 46'!$A$1:$AC$24</definedName>
    <definedName name="_xlnm.Print_Area" localSheetId="32">'Men Blazer size 48'!$A$1:$AC$22</definedName>
    <definedName name="_xlnm.Print_Area" localSheetId="34">'Men Blazer size 50'!$A$1:$AC$22</definedName>
    <definedName name="_xlnm.Print_Area" localSheetId="35">'Men Blazer size 52'!$A$1:$AC$22</definedName>
    <definedName name="_xlnm.Print_Area" localSheetId="36">'Men Blazer size 54'!$A$1:$AC$22</definedName>
    <definedName name="_xlnm.Print_Area" localSheetId="37">'Men Blazer size 56-58-60-NO'!$A$1:$AC$25</definedName>
    <definedName name="_xlnm.Print_Area" localSheetId="38">'Men Blazer size 56-58-60-NO (2'!$A$1:$AC$35</definedName>
    <definedName name="_xlnm.Print_Area" localSheetId="10">'Mens Coat item 02'!$A$1:$X$28</definedName>
    <definedName name="_xlnm.Print_Area" localSheetId="9">'Mens ghile item 01'!$A$1:$X$24</definedName>
    <definedName name="_xlnm.Print_Area" localSheetId="20">'Mens Pant item 14&amp;15'!$A$1:$X$26</definedName>
    <definedName name="_xlnm.Print_Area" localSheetId="21">'Mens Short item 16'!$A$1:$X$22</definedName>
    <definedName name="_xlnm.Print_Area" localSheetId="11">'Padding item 04'!$A$1:$X$22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70" l="1"/>
  <c r="D27" i="70" s="1"/>
  <c r="T27" i="70" s="1"/>
  <c r="E27" i="70"/>
  <c r="N26" i="70"/>
  <c r="D26" i="70" s="1"/>
  <c r="T26" i="70" s="1"/>
  <c r="E26" i="70"/>
  <c r="N25" i="70"/>
  <c r="D25" i="70" s="1"/>
  <c r="T25" i="70" s="1"/>
  <c r="E25" i="70"/>
  <c r="N24" i="70"/>
  <c r="D24" i="70" s="1"/>
  <c r="T24" i="70" s="1"/>
  <c r="E24" i="70"/>
  <c r="N23" i="70"/>
  <c r="D23" i="70" s="1"/>
  <c r="T23" i="70" s="1"/>
  <c r="E23" i="70"/>
  <c r="S29" i="70"/>
  <c r="R29" i="70"/>
  <c r="O29" i="70"/>
  <c r="C12" i="70" s="1"/>
  <c r="N28" i="70"/>
  <c r="D28" i="70" s="1"/>
  <c r="T28" i="70" s="1"/>
  <c r="E28" i="70"/>
  <c r="N22" i="70"/>
  <c r="D22" i="70" s="1"/>
  <c r="T22" i="70" s="1"/>
  <c r="E22" i="70"/>
  <c r="N21" i="70"/>
  <c r="D21" i="70" s="1"/>
  <c r="T21" i="70" s="1"/>
  <c r="E21" i="70"/>
  <c r="N20" i="70"/>
  <c r="D20" i="70" s="1"/>
  <c r="T20" i="70" s="1"/>
  <c r="E20" i="70"/>
  <c r="N19" i="70"/>
  <c r="D19" i="70" s="1"/>
  <c r="T19" i="70" s="1"/>
  <c r="E19" i="70"/>
  <c r="N18" i="70"/>
  <c r="D18" i="70" s="1"/>
  <c r="T18" i="70" s="1"/>
  <c r="E18" i="70"/>
  <c r="N17" i="70"/>
  <c r="E17" i="70"/>
  <c r="D17" i="70"/>
  <c r="T17" i="70" s="1"/>
  <c r="N16" i="70"/>
  <c r="E16" i="70"/>
  <c r="D16" i="70"/>
  <c r="D29" i="70" l="1"/>
  <c r="C16" i="70"/>
  <c r="A17" i="70" s="1"/>
  <c r="C17" i="70" s="1"/>
  <c r="A18" i="70" s="1"/>
  <c r="C18" i="70" s="1"/>
  <c r="A19" i="70" s="1"/>
  <c r="C19" i="70" s="1"/>
  <c r="A20" i="70" s="1"/>
  <c r="C20" i="70" s="1"/>
  <c r="A21" i="70" s="1"/>
  <c r="C21" i="70" s="1"/>
  <c r="A22" i="70" s="1"/>
  <c r="C22" i="70" s="1"/>
  <c r="T16" i="70"/>
  <c r="T29" i="70" s="1"/>
  <c r="A23" i="70" l="1"/>
  <c r="C23" i="70" s="1"/>
  <c r="I47" i="69"/>
  <c r="H47" i="69"/>
  <c r="R10" i="69"/>
  <c r="M10" i="69"/>
  <c r="L10" i="69"/>
  <c r="K10" i="69"/>
  <c r="J10" i="69"/>
  <c r="I10" i="69"/>
  <c r="H10" i="69"/>
  <c r="G10" i="69"/>
  <c r="F10" i="69"/>
  <c r="N9" i="69"/>
  <c r="N8" i="69"/>
  <c r="N7" i="69"/>
  <c r="N10" i="69" l="1"/>
  <c r="A24" i="70"/>
  <c r="C24" i="70" s="1"/>
  <c r="A25" i="70" s="1"/>
  <c r="C25" i="70" s="1"/>
  <c r="A26" i="70" s="1"/>
  <c r="C26" i="70" s="1"/>
  <c r="A27" i="70" s="1"/>
  <c r="C27" i="70" l="1"/>
  <c r="A28" i="70" s="1"/>
  <c r="C28" i="70" s="1"/>
  <c r="S21" i="68"/>
  <c r="D21" i="68"/>
  <c r="Y21" i="68" s="1"/>
  <c r="T31" i="68"/>
  <c r="C12" i="68" s="1"/>
  <c r="S29" i="68"/>
  <c r="D29" i="68" s="1"/>
  <c r="Y29" i="68" s="1"/>
  <c r="S28" i="68"/>
  <c r="D28" i="68" s="1"/>
  <c r="Y28" i="68" s="1"/>
  <c r="S27" i="68"/>
  <c r="D27" i="68" s="1"/>
  <c r="Y27" i="68" s="1"/>
  <c r="S26" i="68"/>
  <c r="D26" i="68"/>
  <c r="Y26" i="68" s="1"/>
  <c r="S25" i="68"/>
  <c r="D25" i="68" s="1"/>
  <c r="Y25" i="68" s="1"/>
  <c r="S24" i="68"/>
  <c r="D24" i="68" s="1"/>
  <c r="Y24" i="68" s="1"/>
  <c r="S23" i="68"/>
  <c r="D23" i="68" s="1"/>
  <c r="Y23" i="68" s="1"/>
  <c r="O22" i="68"/>
  <c r="S22" i="68"/>
  <c r="D22" i="68" s="1"/>
  <c r="Y22" i="68" s="1"/>
  <c r="S20" i="68"/>
  <c r="D20" i="68" s="1"/>
  <c r="Y20" i="68" s="1"/>
  <c r="O10" i="68"/>
  <c r="X31" i="68"/>
  <c r="W31" i="68"/>
  <c r="S30" i="68"/>
  <c r="D30" i="68" s="1"/>
  <c r="Y30" i="68" s="1"/>
  <c r="S19" i="68"/>
  <c r="S18" i="68"/>
  <c r="S17" i="68"/>
  <c r="D17" i="68" s="1"/>
  <c r="Y17" i="68" s="1"/>
  <c r="E17" i="68"/>
  <c r="S16" i="68"/>
  <c r="E16" i="68"/>
  <c r="D16" i="68"/>
  <c r="Y16" i="68" s="1"/>
  <c r="D19" i="68" l="1"/>
  <c r="Y19" i="68" s="1"/>
  <c r="D18" i="68"/>
  <c r="Y18" i="68" s="1"/>
  <c r="Y31" i="68" s="1"/>
  <c r="C16" i="68"/>
  <c r="A17" i="68" l="1"/>
  <c r="C17" i="68" s="1"/>
  <c r="A18" i="68" s="1"/>
  <c r="C18" i="68" s="1"/>
  <c r="A19" i="68" s="1"/>
  <c r="C19" i="68" s="1"/>
  <c r="D31" i="68"/>
  <c r="A20" i="68" l="1"/>
  <c r="C20" i="68" s="1"/>
  <c r="A21" i="68" l="1"/>
  <c r="C21" i="68" s="1"/>
  <c r="A22" i="68" s="1"/>
  <c r="C22" i="68" s="1"/>
  <c r="A23" i="68" s="1"/>
  <c r="C23" i="68" s="1"/>
  <c r="A24" i="68" s="1"/>
  <c r="C24" i="68" s="1"/>
  <c r="A25" i="68" l="1"/>
  <c r="C25" i="68" s="1"/>
  <c r="A26" i="68" l="1"/>
  <c r="C26" i="68" s="1"/>
  <c r="C27" i="68" l="1"/>
  <c r="A27" i="68"/>
  <c r="A28" i="68" l="1"/>
  <c r="C28" i="68" s="1"/>
  <c r="A29" i="68" l="1"/>
  <c r="C29" i="68" s="1"/>
  <c r="A30" i="68" l="1"/>
  <c r="C30" i="68" s="1"/>
  <c r="C71" i="36" l="1"/>
  <c r="T16" i="66" l="1"/>
  <c r="T16" i="64"/>
  <c r="T16" i="57"/>
  <c r="T17" i="61" l="1"/>
  <c r="T16" i="61"/>
  <c r="T19" i="60"/>
  <c r="T18" i="60"/>
  <c r="T17" i="60"/>
  <c r="T16" i="60"/>
  <c r="T19" i="56"/>
  <c r="T18" i="56"/>
  <c r="T17" i="56"/>
  <c r="T16" i="56"/>
  <c r="T19" i="57"/>
  <c r="T18" i="57"/>
  <c r="T17" i="57"/>
  <c r="D17" i="57" s="1"/>
  <c r="Y17" i="57" s="1"/>
  <c r="T19" i="58"/>
  <c r="T18" i="58"/>
  <c r="T17" i="58"/>
  <c r="T16" i="58"/>
  <c r="T17" i="59"/>
  <c r="T16" i="59"/>
  <c r="X21" i="66"/>
  <c r="W21" i="66"/>
  <c r="T20" i="66"/>
  <c r="T19" i="66"/>
  <c r="D19" i="66" s="1"/>
  <c r="Y19" i="66" s="1"/>
  <c r="S20" i="66"/>
  <c r="D20" i="66" s="1"/>
  <c r="E20" i="66"/>
  <c r="S19" i="66"/>
  <c r="E19" i="66"/>
  <c r="T17" i="66"/>
  <c r="T18" i="66"/>
  <c r="T21" i="66" s="1"/>
  <c r="S18" i="66"/>
  <c r="E18" i="66"/>
  <c r="D18" i="66"/>
  <c r="Y18" i="66" s="1"/>
  <c r="S17" i="66"/>
  <c r="E17" i="66"/>
  <c r="D17" i="66"/>
  <c r="Y17" i="66" s="1"/>
  <c r="S16" i="66"/>
  <c r="E16" i="66"/>
  <c r="X19" i="65"/>
  <c r="W19" i="65"/>
  <c r="T18" i="65"/>
  <c r="T17" i="65"/>
  <c r="T19" i="65" s="1"/>
  <c r="S18" i="65"/>
  <c r="E18" i="65"/>
  <c r="D18" i="65"/>
  <c r="Y18" i="65" s="1"/>
  <c r="T16" i="65"/>
  <c r="S17" i="65"/>
  <c r="E17" i="65"/>
  <c r="S16" i="65"/>
  <c r="D16" i="65" s="1"/>
  <c r="E16" i="65"/>
  <c r="T17" i="64"/>
  <c r="X18" i="64"/>
  <c r="W18" i="64"/>
  <c r="S17" i="64"/>
  <c r="D17" i="64" s="1"/>
  <c r="Y17" i="64" s="1"/>
  <c r="E17" i="64"/>
  <c r="T18" i="64"/>
  <c r="C12" i="64" s="1"/>
  <c r="S16" i="64"/>
  <c r="E16" i="64"/>
  <c r="D16" i="64"/>
  <c r="C16" i="64" s="1"/>
  <c r="A17" i="64" s="1"/>
  <c r="T17" i="63"/>
  <c r="T16" i="63"/>
  <c r="S17" i="63"/>
  <c r="S16" i="63"/>
  <c r="D16" i="63" s="1"/>
  <c r="X18" i="63"/>
  <c r="W18" i="63"/>
  <c r="D17" i="63"/>
  <c r="Y17" i="63" s="1"/>
  <c r="E17" i="63"/>
  <c r="E16" i="63"/>
  <c r="T17" i="62"/>
  <c r="T16" i="62"/>
  <c r="T18" i="62"/>
  <c r="C12" i="62" s="1"/>
  <c r="X18" i="62"/>
  <c r="W18" i="62"/>
  <c r="S17" i="62"/>
  <c r="D17" i="62" s="1"/>
  <c r="Y17" i="62" s="1"/>
  <c r="E17" i="62"/>
  <c r="S16" i="62"/>
  <c r="E16" i="62"/>
  <c r="D16" i="62"/>
  <c r="X20" i="60"/>
  <c r="W20" i="60"/>
  <c r="X18" i="61"/>
  <c r="W18" i="61"/>
  <c r="S17" i="61"/>
  <c r="E17" i="61"/>
  <c r="S16" i="61"/>
  <c r="E16" i="61"/>
  <c r="S19" i="60"/>
  <c r="E19" i="60"/>
  <c r="S18" i="60"/>
  <c r="E18" i="60"/>
  <c r="S17" i="60"/>
  <c r="D17" i="60" s="1"/>
  <c r="Y17" i="60" s="1"/>
  <c r="E17" i="60"/>
  <c r="S16" i="60"/>
  <c r="E16" i="60"/>
  <c r="D16" i="60"/>
  <c r="C16" i="60" s="1"/>
  <c r="A17" i="60" s="1"/>
  <c r="X20" i="56"/>
  <c r="W20" i="56"/>
  <c r="X20" i="57"/>
  <c r="W20" i="57"/>
  <c r="X20" i="58"/>
  <c r="W20" i="58"/>
  <c r="X18" i="59"/>
  <c r="W18" i="59"/>
  <c r="S17" i="59"/>
  <c r="E17" i="59"/>
  <c r="S16" i="59"/>
  <c r="E16" i="59"/>
  <c r="S19" i="58"/>
  <c r="E19" i="58"/>
  <c r="S18" i="58"/>
  <c r="E18" i="58"/>
  <c r="S17" i="58"/>
  <c r="E17" i="58"/>
  <c r="S16" i="58"/>
  <c r="E16" i="58"/>
  <c r="S19" i="57"/>
  <c r="E19" i="57"/>
  <c r="S18" i="57"/>
  <c r="E18" i="57"/>
  <c r="S17" i="57"/>
  <c r="E17" i="57"/>
  <c r="S16" i="57"/>
  <c r="E16" i="57"/>
  <c r="S19" i="56"/>
  <c r="E19" i="56"/>
  <c r="S18" i="56"/>
  <c r="E18" i="56"/>
  <c r="S17" i="56"/>
  <c r="E17" i="56"/>
  <c r="D17" i="56"/>
  <c r="Y17" i="56" s="1"/>
  <c r="S16" i="56"/>
  <c r="D16" i="56" s="1"/>
  <c r="Y16" i="56" s="1"/>
  <c r="E16" i="56"/>
  <c r="S22" i="55"/>
  <c r="R22" i="55"/>
  <c r="O22" i="55"/>
  <c r="C12" i="55" s="1"/>
  <c r="N21" i="55"/>
  <c r="D21" i="55" s="1"/>
  <c r="T21" i="55" s="1"/>
  <c r="E21" i="55"/>
  <c r="N20" i="55"/>
  <c r="E20" i="55"/>
  <c r="D20" i="55"/>
  <c r="T20" i="55" s="1"/>
  <c r="N19" i="55"/>
  <c r="E19" i="55"/>
  <c r="D19" i="55"/>
  <c r="T19" i="55" s="1"/>
  <c r="N18" i="55"/>
  <c r="E18" i="55"/>
  <c r="D18" i="55"/>
  <c r="T18" i="55" s="1"/>
  <c r="N17" i="55"/>
  <c r="D17" i="55" s="1"/>
  <c r="T17" i="55" s="1"/>
  <c r="E17" i="55"/>
  <c r="N16" i="55"/>
  <c r="E16" i="55"/>
  <c r="D16" i="55"/>
  <c r="S19" i="54"/>
  <c r="R19" i="54"/>
  <c r="O19" i="54"/>
  <c r="N18" i="54"/>
  <c r="E18" i="54"/>
  <c r="D18" i="54"/>
  <c r="T18" i="54" s="1"/>
  <c r="C12" i="54"/>
  <c r="N17" i="54"/>
  <c r="E17" i="54"/>
  <c r="D17" i="54"/>
  <c r="T17" i="54" s="1"/>
  <c r="N16" i="54"/>
  <c r="E16" i="54"/>
  <c r="D16" i="54"/>
  <c r="T16" i="54" s="1"/>
  <c r="T19" i="54" s="1"/>
  <c r="S17" i="53"/>
  <c r="R17" i="53"/>
  <c r="O17" i="53"/>
  <c r="C12" i="53" s="1"/>
  <c r="N16" i="53"/>
  <c r="D16" i="53" s="1"/>
  <c r="T16" i="53" s="1"/>
  <c r="T17" i="53" s="1"/>
  <c r="E16" i="53"/>
  <c r="S18" i="52"/>
  <c r="R18" i="52"/>
  <c r="O18" i="52"/>
  <c r="N17" i="52"/>
  <c r="E17" i="52"/>
  <c r="N16" i="52"/>
  <c r="E16" i="52"/>
  <c r="D16" i="52"/>
  <c r="D18" i="52" s="1"/>
  <c r="C12" i="52"/>
  <c r="T18" i="51"/>
  <c r="S18" i="51"/>
  <c r="R18" i="51"/>
  <c r="O18" i="51"/>
  <c r="N17" i="51"/>
  <c r="E17" i="51"/>
  <c r="D17" i="51"/>
  <c r="T17" i="51" s="1"/>
  <c r="N16" i="51"/>
  <c r="E16" i="51"/>
  <c r="D16" i="51"/>
  <c r="T16" i="51" s="1"/>
  <c r="C12" i="51"/>
  <c r="S17" i="48"/>
  <c r="R17" i="48"/>
  <c r="O17" i="48"/>
  <c r="C12" i="48" s="1"/>
  <c r="N16" i="48"/>
  <c r="D16" i="48" s="1"/>
  <c r="T16" i="48" s="1"/>
  <c r="E16" i="48"/>
  <c r="E17" i="47"/>
  <c r="S18" i="47"/>
  <c r="R18" i="47"/>
  <c r="O18" i="47"/>
  <c r="C12" i="47" s="1"/>
  <c r="N17" i="47"/>
  <c r="N16" i="47"/>
  <c r="D16" i="47" s="1"/>
  <c r="T16" i="47" s="1"/>
  <c r="E16" i="47"/>
  <c r="S18" i="46"/>
  <c r="R18" i="46"/>
  <c r="O18" i="46"/>
  <c r="C12" i="46" s="1"/>
  <c r="N17" i="46"/>
  <c r="E17" i="46"/>
  <c r="D17" i="46"/>
  <c r="T17" i="46" s="1"/>
  <c r="N16" i="46"/>
  <c r="E16" i="46"/>
  <c r="D16" i="46"/>
  <c r="D18" i="46" s="1"/>
  <c r="C16" i="65" l="1"/>
  <c r="A17" i="65" s="1"/>
  <c r="D19" i="65"/>
  <c r="D19" i="54"/>
  <c r="T20" i="60"/>
  <c r="C12" i="60" s="1"/>
  <c r="D18" i="51"/>
  <c r="D18" i="60"/>
  <c r="Y18" i="60" s="1"/>
  <c r="D16" i="61"/>
  <c r="T20" i="56"/>
  <c r="D19" i="57"/>
  <c r="Y19" i="57" s="1"/>
  <c r="T20" i="57"/>
  <c r="C12" i="57" s="1"/>
  <c r="D16" i="58"/>
  <c r="Y16" i="58" s="1"/>
  <c r="D17" i="58"/>
  <c r="Y17" i="58" s="1"/>
  <c r="T20" i="58"/>
  <c r="C12" i="58" s="1"/>
  <c r="Y20" i="66"/>
  <c r="D16" i="66"/>
  <c r="D21" i="66" s="1"/>
  <c r="C12" i="66"/>
  <c r="C12" i="65"/>
  <c r="D17" i="65"/>
  <c r="Y17" i="65" s="1"/>
  <c r="Y16" i="65"/>
  <c r="Y19" i="65" s="1"/>
  <c r="C17" i="64"/>
  <c r="Y16" i="64"/>
  <c r="Y18" i="64" s="1"/>
  <c r="D18" i="64"/>
  <c r="D18" i="63"/>
  <c r="Y16" i="63"/>
  <c r="Y18" i="63" s="1"/>
  <c r="T18" i="63"/>
  <c r="C12" i="63" s="1"/>
  <c r="C16" i="63"/>
  <c r="A17" i="63" s="1"/>
  <c r="C17" i="63" s="1"/>
  <c r="D18" i="62"/>
  <c r="Y16" i="62"/>
  <c r="Y18" i="62" s="1"/>
  <c r="C16" i="62"/>
  <c r="A17" i="62" s="1"/>
  <c r="C17" i="62" s="1"/>
  <c r="T18" i="61"/>
  <c r="C12" i="61" s="1"/>
  <c r="D17" i="61"/>
  <c r="Y17" i="61" s="1"/>
  <c r="C16" i="61"/>
  <c r="A17" i="61" s="1"/>
  <c r="Y16" i="61"/>
  <c r="D19" i="60"/>
  <c r="Y19" i="60" s="1"/>
  <c r="C17" i="60"/>
  <c r="A18" i="60" s="1"/>
  <c r="C18" i="60" s="1"/>
  <c r="A19" i="60" s="1"/>
  <c r="Y16" i="60"/>
  <c r="Y20" i="60" s="1"/>
  <c r="D18" i="58"/>
  <c r="Y18" i="58" s="1"/>
  <c r="D17" i="59"/>
  <c r="Y17" i="59" s="1"/>
  <c r="T18" i="59"/>
  <c r="D16" i="59"/>
  <c r="D19" i="58"/>
  <c r="Y19" i="58" s="1"/>
  <c r="D18" i="57"/>
  <c r="Y18" i="57" s="1"/>
  <c r="D16" i="57"/>
  <c r="D19" i="56"/>
  <c r="Y19" i="56" s="1"/>
  <c r="D18" i="56"/>
  <c r="Y18" i="56" s="1"/>
  <c r="Y20" i="56" s="1"/>
  <c r="C12" i="56"/>
  <c r="C16" i="56"/>
  <c r="A17" i="56" s="1"/>
  <c r="C17" i="56" s="1"/>
  <c r="A18" i="56" s="1"/>
  <c r="D22" i="55"/>
  <c r="C16" i="55"/>
  <c r="A17" i="55" s="1"/>
  <c r="C17" i="55" s="1"/>
  <c r="A18" i="55" s="1"/>
  <c r="C18" i="55" s="1"/>
  <c r="A19" i="55" s="1"/>
  <c r="C19" i="55" s="1"/>
  <c r="A20" i="55" s="1"/>
  <c r="C20" i="55" s="1"/>
  <c r="A21" i="55" s="1"/>
  <c r="C21" i="55" s="1"/>
  <c r="T16" i="55"/>
  <c r="T22" i="55" s="1"/>
  <c r="C16" i="54"/>
  <c r="A17" i="54" s="1"/>
  <c r="C17" i="54" s="1"/>
  <c r="A18" i="54" s="1"/>
  <c r="C18" i="54" s="1"/>
  <c r="D17" i="53"/>
  <c r="C16" i="53"/>
  <c r="C16" i="52"/>
  <c r="T16" i="52"/>
  <c r="T18" i="52" s="1"/>
  <c r="C17" i="51"/>
  <c r="C16" i="51"/>
  <c r="T17" i="48"/>
  <c r="D17" i="48"/>
  <c r="C16" i="48"/>
  <c r="T18" i="47"/>
  <c r="D18" i="47"/>
  <c r="C16" i="47"/>
  <c r="C16" i="46"/>
  <c r="A17" i="46" s="1"/>
  <c r="C17" i="46" s="1"/>
  <c r="T16" i="46"/>
  <c r="T18" i="46" s="1"/>
  <c r="S18" i="45"/>
  <c r="R18" i="45"/>
  <c r="O18" i="45"/>
  <c r="C12" i="45" s="1"/>
  <c r="N17" i="45"/>
  <c r="D17" i="45" s="1"/>
  <c r="T17" i="45" s="1"/>
  <c r="E17" i="45"/>
  <c r="N16" i="45"/>
  <c r="D16" i="45" s="1"/>
  <c r="E16" i="45"/>
  <c r="S24" i="39"/>
  <c r="R24" i="39"/>
  <c r="S24" i="35"/>
  <c r="R24" i="35"/>
  <c r="S22" i="44"/>
  <c r="R22" i="44"/>
  <c r="O22" i="44"/>
  <c r="C12" i="44" s="1"/>
  <c r="N21" i="44"/>
  <c r="E21" i="44"/>
  <c r="D21" i="44"/>
  <c r="T21" i="44" s="1"/>
  <c r="N20" i="44"/>
  <c r="E20" i="44"/>
  <c r="D20" i="44"/>
  <c r="T20" i="44" s="1"/>
  <c r="N19" i="44"/>
  <c r="D19" i="44" s="1"/>
  <c r="T19" i="44" s="1"/>
  <c r="E19" i="44"/>
  <c r="N18" i="44"/>
  <c r="D18" i="44" s="1"/>
  <c r="T18" i="44" s="1"/>
  <c r="E18" i="44"/>
  <c r="N17" i="44"/>
  <c r="E17" i="44"/>
  <c r="D17" i="44"/>
  <c r="T17" i="44" s="1"/>
  <c r="N16" i="44"/>
  <c r="D16" i="44" s="1"/>
  <c r="E16" i="44"/>
  <c r="G9" i="43"/>
  <c r="S18" i="43"/>
  <c r="R18" i="43"/>
  <c r="O18" i="43"/>
  <c r="C12" i="43" s="1"/>
  <c r="N17" i="43"/>
  <c r="D17" i="43" s="1"/>
  <c r="T17" i="43" s="1"/>
  <c r="E17" i="43"/>
  <c r="N16" i="43"/>
  <c r="E16" i="43"/>
  <c r="D16" i="43"/>
  <c r="S17" i="42"/>
  <c r="R17" i="42"/>
  <c r="O17" i="42"/>
  <c r="N16" i="42"/>
  <c r="D16" i="42" s="1"/>
  <c r="D17" i="42" s="1"/>
  <c r="E16" i="42"/>
  <c r="C12" i="42"/>
  <c r="S19" i="41"/>
  <c r="R19" i="41"/>
  <c r="O19" i="41"/>
  <c r="C12" i="41" s="1"/>
  <c r="N18" i="41"/>
  <c r="E18" i="41"/>
  <c r="D18" i="41"/>
  <c r="T18" i="41" s="1"/>
  <c r="N17" i="41"/>
  <c r="D17" i="41" s="1"/>
  <c r="T17" i="41" s="1"/>
  <c r="E17" i="41"/>
  <c r="N16" i="41"/>
  <c r="D16" i="41" s="1"/>
  <c r="E16" i="41"/>
  <c r="S20" i="40"/>
  <c r="R20" i="40"/>
  <c r="O20" i="40"/>
  <c r="N19" i="40"/>
  <c r="E19" i="40"/>
  <c r="D19" i="40"/>
  <c r="T19" i="40" s="1"/>
  <c r="N18" i="40"/>
  <c r="E18" i="40"/>
  <c r="D18" i="40"/>
  <c r="T18" i="40" s="1"/>
  <c r="N17" i="40"/>
  <c r="D17" i="40" s="1"/>
  <c r="T17" i="40" s="1"/>
  <c r="E17" i="40"/>
  <c r="N16" i="40"/>
  <c r="E16" i="40"/>
  <c r="D16" i="40"/>
  <c r="O24" i="39"/>
  <c r="C12" i="39" s="1"/>
  <c r="N23" i="39"/>
  <c r="D23" i="39" s="1"/>
  <c r="T23" i="39" s="1"/>
  <c r="E23" i="39"/>
  <c r="N22" i="39"/>
  <c r="D22" i="39" s="1"/>
  <c r="T22" i="39" s="1"/>
  <c r="E22" i="39"/>
  <c r="N21" i="39"/>
  <c r="E21" i="39"/>
  <c r="D21" i="39"/>
  <c r="T21" i="39" s="1"/>
  <c r="N20" i="39"/>
  <c r="E20" i="39"/>
  <c r="D20" i="39"/>
  <c r="T20" i="39" s="1"/>
  <c r="N19" i="39"/>
  <c r="D19" i="39" s="1"/>
  <c r="T19" i="39" s="1"/>
  <c r="E19" i="39"/>
  <c r="N18" i="39"/>
  <c r="D18" i="39" s="1"/>
  <c r="T18" i="39" s="1"/>
  <c r="E18" i="39"/>
  <c r="N17" i="39"/>
  <c r="E17" i="39"/>
  <c r="D17" i="39"/>
  <c r="T17" i="39" s="1"/>
  <c r="N16" i="39"/>
  <c r="E16" i="39"/>
  <c r="D16" i="39"/>
  <c r="S18" i="38"/>
  <c r="R18" i="38"/>
  <c r="O18" i="38"/>
  <c r="C12" i="38" s="1"/>
  <c r="N17" i="38"/>
  <c r="D17" i="38" s="1"/>
  <c r="T17" i="38" s="1"/>
  <c r="E17" i="38"/>
  <c r="N16" i="38"/>
  <c r="E16" i="38"/>
  <c r="D16" i="38"/>
  <c r="O24" i="35"/>
  <c r="N23" i="35"/>
  <c r="D23" i="35" s="1"/>
  <c r="E23" i="35"/>
  <c r="D19" i="41" l="1"/>
  <c r="T16" i="41"/>
  <c r="C16" i="41"/>
  <c r="A17" i="41" s="1"/>
  <c r="C17" i="41" s="1"/>
  <c r="A18" i="41" s="1"/>
  <c r="D22" i="44"/>
  <c r="D24" i="39"/>
  <c r="C16" i="58"/>
  <c r="A17" i="58" s="1"/>
  <c r="C17" i="58" s="1"/>
  <c r="A18" i="58" s="1"/>
  <c r="C18" i="58" s="1"/>
  <c r="A19" i="58" s="1"/>
  <c r="C12" i="59"/>
  <c r="T21" i="59"/>
  <c r="L23" i="65"/>
  <c r="N23" i="65" s="1"/>
  <c r="D20" i="40"/>
  <c r="C12" i="40"/>
  <c r="C17" i="61"/>
  <c r="D20" i="60"/>
  <c r="D20" i="56"/>
  <c r="D20" i="57"/>
  <c r="C19" i="58"/>
  <c r="Y20" i="58"/>
  <c r="D20" i="58"/>
  <c r="Y16" i="66"/>
  <c r="Y21" i="66" s="1"/>
  <c r="C16" i="66"/>
  <c r="A17" i="66" s="1"/>
  <c r="C17" i="66" s="1"/>
  <c r="A18" i="66" s="1"/>
  <c r="C18" i="66" s="1"/>
  <c r="A19" i="66" s="1"/>
  <c r="C19" i="66" s="1"/>
  <c r="A20" i="66" s="1"/>
  <c r="C20" i="66" s="1"/>
  <c r="C17" i="65"/>
  <c r="A18" i="65" s="1"/>
  <c r="C18" i="65" s="1"/>
  <c r="Y18" i="61"/>
  <c r="D18" i="61"/>
  <c r="C19" i="60"/>
  <c r="Y16" i="59"/>
  <c r="Y18" i="59" s="1"/>
  <c r="D18" i="59"/>
  <c r="C16" i="59"/>
  <c r="A17" i="59" s="1"/>
  <c r="C17" i="59" s="1"/>
  <c r="Y16" i="57"/>
  <c r="Y20" i="57" s="1"/>
  <c r="C16" i="57"/>
  <c r="A17" i="57" s="1"/>
  <c r="C17" i="57" s="1"/>
  <c r="A18" i="57" s="1"/>
  <c r="C18" i="57" s="1"/>
  <c r="A19" i="57" s="1"/>
  <c r="C19" i="57" s="1"/>
  <c r="C18" i="56"/>
  <c r="A19" i="56" s="1"/>
  <c r="C19" i="56" s="1"/>
  <c r="D18" i="45"/>
  <c r="C16" i="45"/>
  <c r="A17" i="45" s="1"/>
  <c r="C17" i="45" s="1"/>
  <c r="T16" i="45"/>
  <c r="T18" i="45" s="1"/>
  <c r="C16" i="44"/>
  <c r="A17" i="44" s="1"/>
  <c r="C17" i="44" s="1"/>
  <c r="A18" i="44" s="1"/>
  <c r="C18" i="44" s="1"/>
  <c r="A19" i="44" s="1"/>
  <c r="C19" i="44" s="1"/>
  <c r="A20" i="44" s="1"/>
  <c r="C20" i="44" s="1"/>
  <c r="A21" i="44" s="1"/>
  <c r="C21" i="44" s="1"/>
  <c r="T16" i="44"/>
  <c r="T22" i="44" s="1"/>
  <c r="D18" i="43"/>
  <c r="C16" i="43"/>
  <c r="A17" i="43" s="1"/>
  <c r="C17" i="43" s="1"/>
  <c r="T16" i="43"/>
  <c r="T18" i="43" s="1"/>
  <c r="C16" i="42"/>
  <c r="T16" i="42"/>
  <c r="T17" i="42" s="1"/>
  <c r="C18" i="41"/>
  <c r="T19" i="41"/>
  <c r="C16" i="40"/>
  <c r="A17" i="40" s="1"/>
  <c r="T16" i="40"/>
  <c r="T20" i="40" s="1"/>
  <c r="C17" i="40"/>
  <c r="A18" i="40" s="1"/>
  <c r="C18" i="40" s="1"/>
  <c r="A19" i="40" s="1"/>
  <c r="C19" i="40" s="1"/>
  <c r="C16" i="39"/>
  <c r="A17" i="39" s="1"/>
  <c r="C17" i="39" s="1"/>
  <c r="A18" i="39" s="1"/>
  <c r="C18" i="39" s="1"/>
  <c r="A19" i="39" s="1"/>
  <c r="C19" i="39" s="1"/>
  <c r="A20" i="39" s="1"/>
  <c r="C20" i="39" s="1"/>
  <c r="A21" i="39" s="1"/>
  <c r="C21" i="39" s="1"/>
  <c r="A22" i="39" s="1"/>
  <c r="C22" i="39" s="1"/>
  <c r="A23" i="39" s="1"/>
  <c r="C23" i="39" s="1"/>
  <c r="T16" i="39"/>
  <c r="T24" i="39" s="1"/>
  <c r="D18" i="38"/>
  <c r="C16" i="38"/>
  <c r="A17" i="38" s="1"/>
  <c r="C17" i="38" s="1"/>
  <c r="T16" i="38"/>
  <c r="T18" i="38" s="1"/>
  <c r="T23" i="35"/>
  <c r="G22" i="37"/>
  <c r="E14" i="37"/>
  <c r="D14" i="37"/>
  <c r="C13" i="37"/>
  <c r="C14" i="37" s="1"/>
  <c r="E11" i="37" l="1"/>
  <c r="D11" i="37"/>
  <c r="C10" i="37"/>
  <c r="C11" i="37" s="1"/>
  <c r="C7" i="37" l="1"/>
  <c r="C20" i="37" s="1"/>
  <c r="E8" i="37"/>
  <c r="E18" i="37" s="1"/>
  <c r="F22" i="37" s="1"/>
  <c r="G23" i="37" s="1"/>
  <c r="D8" i="37"/>
  <c r="D18" i="37" s="1"/>
  <c r="C8" i="37"/>
  <c r="C18" i="37" s="1"/>
  <c r="C22" i="37" s="1"/>
  <c r="C19" i="37" l="1"/>
  <c r="E5" i="37"/>
  <c r="D5" i="37"/>
  <c r="C5" i="37"/>
  <c r="L49" i="36" l="1"/>
  <c r="E61" i="36" l="1"/>
  <c r="C61" i="36"/>
  <c r="D60" i="36"/>
  <c r="D61" i="36" s="1"/>
  <c r="E58" i="36" l="1"/>
  <c r="C58" i="36"/>
  <c r="D57" i="36"/>
  <c r="D58" i="36" s="1"/>
  <c r="E55" i="36" l="1"/>
  <c r="C55" i="36"/>
  <c r="D54" i="36"/>
  <c r="D55" i="36" s="1"/>
  <c r="E52" i="36" l="1"/>
  <c r="D52" i="36"/>
  <c r="C52" i="36"/>
  <c r="E48" i="36" l="1"/>
  <c r="C48" i="36"/>
  <c r="D47" i="36"/>
  <c r="D48" i="36" s="1"/>
  <c r="D44" i="36" l="1"/>
  <c r="E45" i="36"/>
  <c r="D45" i="36"/>
  <c r="C45" i="36"/>
  <c r="C41" i="36" l="1"/>
  <c r="C42" i="36" s="1"/>
  <c r="E42" i="36"/>
  <c r="D42" i="36"/>
  <c r="E39" i="36" l="1"/>
  <c r="D39" i="36"/>
  <c r="C39" i="36"/>
  <c r="E35" i="36" l="1"/>
  <c r="D35" i="36"/>
  <c r="C35" i="36"/>
  <c r="E29" i="36" l="1"/>
  <c r="D29" i="36"/>
  <c r="C29" i="36"/>
  <c r="E15" i="36" l="1"/>
  <c r="D15" i="36"/>
  <c r="C15" i="36"/>
  <c r="E12" i="36"/>
  <c r="D12" i="36"/>
  <c r="E5" i="36"/>
  <c r="E64" i="36" s="1"/>
  <c r="H64" i="36" s="1"/>
  <c r="D5" i="36"/>
  <c r="C5" i="36"/>
  <c r="C7" i="36"/>
  <c r="C12" i="36" s="1"/>
  <c r="C64" i="36" l="1"/>
  <c r="C65" i="36" s="1"/>
  <c r="D65" i="36" s="1"/>
  <c r="E65" i="36" s="1"/>
  <c r="D64" i="36"/>
  <c r="C12" i="35"/>
  <c r="N22" i="35"/>
  <c r="D22" i="35" s="1"/>
  <c r="E22" i="35"/>
  <c r="N21" i="35"/>
  <c r="D21" i="35" s="1"/>
  <c r="E21" i="35"/>
  <c r="N20" i="35"/>
  <c r="D20" i="35" s="1"/>
  <c r="E20" i="35"/>
  <c r="N19" i="35"/>
  <c r="D19" i="35" s="1"/>
  <c r="E19" i="35"/>
  <c r="N18" i="35"/>
  <c r="D18" i="35" s="1"/>
  <c r="E18" i="35"/>
  <c r="N17" i="35"/>
  <c r="D17" i="35" s="1"/>
  <c r="E17" i="35"/>
  <c r="N16" i="35"/>
  <c r="D16" i="35" s="1"/>
  <c r="E16" i="35"/>
  <c r="D24" i="35" l="1"/>
  <c r="T20" i="35"/>
  <c r="T16" i="35"/>
  <c r="C16" i="35"/>
  <c r="A17" i="35" s="1"/>
  <c r="C17" i="35" s="1"/>
  <c r="A18" i="35" s="1"/>
  <c r="C18" i="35" s="1"/>
  <c r="A19" i="35" s="1"/>
  <c r="C19" i="35" s="1"/>
  <c r="A20" i="35" s="1"/>
  <c r="C20" i="35" s="1"/>
  <c r="T18" i="35"/>
  <c r="T22" i="35"/>
  <c r="T17" i="35"/>
  <c r="T19" i="35"/>
  <c r="T21" i="35"/>
  <c r="T24" i="35" l="1"/>
  <c r="A21" i="35"/>
  <c r="C21" i="35" s="1"/>
  <c r="A22" i="35" s="1"/>
  <c r="C22" i="35" s="1"/>
  <c r="A23" i="35" s="1"/>
  <c r="C23" i="35" s="1"/>
  <c r="AA22" i="27" l="1"/>
  <c r="Z22" i="27"/>
  <c r="Y22" i="27"/>
  <c r="AA21" i="27"/>
  <c r="Z21" i="27"/>
  <c r="Y21" i="27"/>
  <c r="AA20" i="27"/>
  <c r="Z20" i="27"/>
  <c r="Y20" i="27"/>
  <c r="AA19" i="27"/>
  <c r="Z19" i="27"/>
  <c r="Y19" i="27"/>
  <c r="AA18" i="27"/>
  <c r="Z18" i="27"/>
  <c r="Y18" i="27"/>
  <c r="AA17" i="27"/>
  <c r="Z17" i="27"/>
  <c r="Y17" i="27"/>
  <c r="AA16" i="27"/>
  <c r="Z16" i="27"/>
  <c r="Y16" i="27"/>
  <c r="R23" i="27" l="1"/>
  <c r="AD22" i="27"/>
  <c r="T22" i="27"/>
  <c r="Q22" i="27"/>
  <c r="H22" i="27"/>
  <c r="H34" i="27" s="1"/>
  <c r="G22" i="27"/>
  <c r="G34" i="27" s="1"/>
  <c r="F22" i="27"/>
  <c r="F34" i="27" s="1"/>
  <c r="D22" i="27"/>
  <c r="W22" i="27" s="1"/>
  <c r="O34" i="27" l="1"/>
  <c r="V22" i="27"/>
  <c r="AE22" i="27"/>
  <c r="U22" i="27"/>
  <c r="G30" i="27" l="1"/>
  <c r="P28" i="27"/>
  <c r="G28" i="27"/>
  <c r="G29" i="27" s="1"/>
  <c r="H26" i="27"/>
  <c r="F26" i="27"/>
  <c r="C12" i="27"/>
  <c r="AD21" i="27"/>
  <c r="T21" i="27"/>
  <c r="Q21" i="27"/>
  <c r="D21" i="27" s="1"/>
  <c r="H21" i="27"/>
  <c r="H33" i="27" s="1"/>
  <c r="G21" i="27"/>
  <c r="G33" i="27" s="1"/>
  <c r="F21" i="27"/>
  <c r="F33" i="27" s="1"/>
  <c r="AD20" i="27"/>
  <c r="T20" i="27"/>
  <c r="Q20" i="27"/>
  <c r="D20" i="27" s="1"/>
  <c r="H20" i="27"/>
  <c r="G20" i="27"/>
  <c r="F20" i="27"/>
  <c r="AD19" i="27"/>
  <c r="T19" i="27"/>
  <c r="Q19" i="27"/>
  <c r="D19" i="27" s="1"/>
  <c r="N31" i="27" s="1"/>
  <c r="H19" i="27"/>
  <c r="H31" i="27" s="1"/>
  <c r="G19" i="27"/>
  <c r="G31" i="27" s="1"/>
  <c r="G32" i="27" s="1"/>
  <c r="F19" i="27"/>
  <c r="F31" i="27" s="1"/>
  <c r="F32" i="27" s="1"/>
  <c r="AD18" i="27"/>
  <c r="T18" i="27"/>
  <c r="Q18" i="27"/>
  <c r="D18" i="27" s="1"/>
  <c r="H18" i="27"/>
  <c r="H32" i="27" s="1"/>
  <c r="G18" i="27"/>
  <c r="F18" i="27"/>
  <c r="AD17" i="27"/>
  <c r="T17" i="27"/>
  <c r="Q17" i="27"/>
  <c r="D17" i="27" s="1"/>
  <c r="N29" i="27" s="1"/>
  <c r="H17" i="27"/>
  <c r="G17" i="27"/>
  <c r="F17" i="27"/>
  <c r="AD16" i="27"/>
  <c r="T16" i="27"/>
  <c r="Q16" i="27"/>
  <c r="D16" i="27" s="1"/>
  <c r="D23" i="27" s="1"/>
  <c r="H16" i="27"/>
  <c r="H28" i="27" s="1"/>
  <c r="H29" i="27" s="1"/>
  <c r="F16" i="27"/>
  <c r="O12" i="27"/>
  <c r="N33" i="27" l="1"/>
  <c r="N34" i="27"/>
  <c r="L34" i="27"/>
  <c r="J34" i="27"/>
  <c r="M34" i="27"/>
  <c r="K34" i="27"/>
  <c r="I34" i="27"/>
  <c r="H30" i="27"/>
  <c r="AE21" i="27"/>
  <c r="I33" i="27"/>
  <c r="M33" i="27"/>
  <c r="V21" i="27"/>
  <c r="K33" i="27"/>
  <c r="O33" i="27"/>
  <c r="AE19" i="27"/>
  <c r="I31" i="27"/>
  <c r="M31" i="27"/>
  <c r="V19" i="27"/>
  <c r="K31" i="27"/>
  <c r="O31" i="27"/>
  <c r="AE17" i="27"/>
  <c r="K29" i="27"/>
  <c r="O29" i="27"/>
  <c r="V17" i="27"/>
  <c r="I29" i="27"/>
  <c r="M29" i="27"/>
  <c r="F28" i="27"/>
  <c r="F29" i="27" s="1"/>
  <c r="F30" i="27"/>
  <c r="N28" i="27"/>
  <c r="L28" i="27"/>
  <c r="J28" i="27"/>
  <c r="U16" i="27"/>
  <c r="O30" i="27"/>
  <c r="M30" i="27"/>
  <c r="K30" i="27"/>
  <c r="I30" i="27"/>
  <c r="N30" i="27"/>
  <c r="L30" i="27"/>
  <c r="J30" i="27"/>
  <c r="U18" i="27"/>
  <c r="O32" i="27"/>
  <c r="M32" i="27"/>
  <c r="K32" i="27"/>
  <c r="I32" i="27"/>
  <c r="N32" i="27"/>
  <c r="L32" i="27"/>
  <c r="J32" i="27"/>
  <c r="U20" i="27"/>
  <c r="C16" i="27"/>
  <c r="A17" i="27" s="1"/>
  <c r="C17" i="27" s="1"/>
  <c r="A18" i="27" s="1"/>
  <c r="C18" i="27" s="1"/>
  <c r="A19" i="27" s="1"/>
  <c r="C19" i="27" s="1"/>
  <c r="A20" i="27" s="1"/>
  <c r="C20" i="27" s="1"/>
  <c r="A21" i="27" s="1"/>
  <c r="C21" i="27" s="1"/>
  <c r="A22" i="27" s="1"/>
  <c r="C22" i="27" s="1"/>
  <c r="V16" i="27"/>
  <c r="W16" i="27"/>
  <c r="AE16" i="27"/>
  <c r="V18" i="27"/>
  <c r="W18" i="27"/>
  <c r="AE18" i="27"/>
  <c r="V20" i="27"/>
  <c r="W20" i="27"/>
  <c r="AE20" i="27"/>
  <c r="K28" i="27"/>
  <c r="O28" i="27"/>
  <c r="I28" i="27"/>
  <c r="M28" i="27"/>
  <c r="U17" i="27"/>
  <c r="W17" i="27"/>
  <c r="U19" i="27"/>
  <c r="W19" i="27"/>
  <c r="U21" i="27"/>
  <c r="W21" i="27"/>
  <c r="J29" i="27"/>
  <c r="L29" i="27"/>
  <c r="J31" i="27"/>
  <c r="L31" i="27"/>
  <c r="J33" i="27"/>
  <c r="L33" i="27"/>
  <c r="O35" i="27" l="1"/>
  <c r="V23" i="27"/>
  <c r="U23" i="27"/>
  <c r="W23" i="27"/>
  <c r="Q34" i="27"/>
  <c r="Q33" i="27"/>
  <c r="Q31" i="27"/>
  <c r="Q29" i="27"/>
  <c r="M35" i="27"/>
  <c r="K35" i="27"/>
  <c r="L35" i="27"/>
  <c r="I35" i="27"/>
  <c r="Q28" i="27"/>
  <c r="AE23" i="27"/>
  <c r="Q32" i="27"/>
  <c r="Q30" i="27"/>
  <c r="J35" i="27"/>
  <c r="N35" i="27"/>
  <c r="Q35" i="27" l="1"/>
  <c r="T22" i="14" l="1"/>
  <c r="T21" i="14"/>
  <c r="T20" i="14"/>
  <c r="T19" i="14"/>
  <c r="T18" i="14"/>
  <c r="T17" i="14"/>
  <c r="T16" i="14"/>
  <c r="O12" i="14" l="1"/>
  <c r="G22" i="14"/>
  <c r="G21" i="14"/>
  <c r="G20" i="14"/>
  <c r="G19" i="14"/>
  <c r="G18" i="14"/>
  <c r="G17" i="14"/>
  <c r="L33" i="25" l="1"/>
  <c r="G30" i="25"/>
  <c r="P28" i="25"/>
  <c r="G28" i="25"/>
  <c r="G29" i="25" s="1"/>
  <c r="X26" i="25"/>
  <c r="H26" i="25"/>
  <c r="F26" i="25"/>
  <c r="R23" i="25"/>
  <c r="AD22" i="25"/>
  <c r="Q22" i="25"/>
  <c r="H22" i="25"/>
  <c r="G22" i="25"/>
  <c r="F22" i="25"/>
  <c r="D22" i="25"/>
  <c r="N34" i="25" s="1"/>
  <c r="AD21" i="25"/>
  <c r="Q21" i="25"/>
  <c r="H21" i="25"/>
  <c r="H33" i="25" s="1"/>
  <c r="G21" i="25"/>
  <c r="G33" i="25" s="1"/>
  <c r="G34" i="25" s="1"/>
  <c r="F21" i="25"/>
  <c r="F33" i="25" s="1"/>
  <c r="F34" i="25" s="1"/>
  <c r="D21" i="25"/>
  <c r="O33" i="25" s="1"/>
  <c r="AD20" i="25"/>
  <c r="Q20" i="25"/>
  <c r="D20" i="25" s="1"/>
  <c r="N32" i="25" s="1"/>
  <c r="H20" i="25"/>
  <c r="H34" i="25" s="1"/>
  <c r="G20" i="25"/>
  <c r="F20" i="25"/>
  <c r="AD19" i="25"/>
  <c r="Q19" i="25"/>
  <c r="D19" i="25" s="1"/>
  <c r="H19" i="25"/>
  <c r="H31" i="25" s="1"/>
  <c r="G19" i="25"/>
  <c r="G31" i="25" s="1"/>
  <c r="G32" i="25" s="1"/>
  <c r="F19" i="25"/>
  <c r="F31" i="25" s="1"/>
  <c r="F32" i="25" s="1"/>
  <c r="AD18" i="25"/>
  <c r="Q18" i="25"/>
  <c r="D18" i="25" s="1"/>
  <c r="N30" i="25" s="1"/>
  <c r="H18" i="25"/>
  <c r="H32" i="25" s="1"/>
  <c r="G18" i="25"/>
  <c r="F18" i="25"/>
  <c r="AD17" i="25"/>
  <c r="Q17" i="25"/>
  <c r="D17" i="25" s="1"/>
  <c r="H17" i="25"/>
  <c r="G17" i="25"/>
  <c r="F17" i="25"/>
  <c r="AD16" i="25"/>
  <c r="Q16" i="25"/>
  <c r="H16" i="25"/>
  <c r="F16" i="25"/>
  <c r="F30" i="25" s="1"/>
  <c r="D16" i="25"/>
  <c r="G30" i="24"/>
  <c r="P28" i="24"/>
  <c r="G28" i="24"/>
  <c r="G29" i="24" s="1"/>
  <c r="X26" i="24"/>
  <c r="H26" i="24"/>
  <c r="F26" i="24"/>
  <c r="R23" i="24"/>
  <c r="AD22" i="24"/>
  <c r="Q22" i="24"/>
  <c r="H22" i="24"/>
  <c r="G22" i="24"/>
  <c r="F22" i="24"/>
  <c r="D22" i="24"/>
  <c r="N34" i="24" s="1"/>
  <c r="AD21" i="24"/>
  <c r="Q21" i="24"/>
  <c r="D21" i="24" s="1"/>
  <c r="H21" i="24"/>
  <c r="H33" i="24" s="1"/>
  <c r="G21" i="24"/>
  <c r="G33" i="24" s="1"/>
  <c r="G34" i="24" s="1"/>
  <c r="F21" i="24"/>
  <c r="F33" i="24" s="1"/>
  <c r="F34" i="24" s="1"/>
  <c r="AD20" i="24"/>
  <c r="Q20" i="24"/>
  <c r="D20" i="24" s="1"/>
  <c r="N32" i="24" s="1"/>
  <c r="H20" i="24"/>
  <c r="H34" i="24" s="1"/>
  <c r="G20" i="24"/>
  <c r="F20" i="24"/>
  <c r="AD19" i="24"/>
  <c r="Q19" i="24"/>
  <c r="D19" i="24" s="1"/>
  <c r="H19" i="24"/>
  <c r="H31" i="24" s="1"/>
  <c r="G19" i="24"/>
  <c r="G31" i="24" s="1"/>
  <c r="G32" i="24" s="1"/>
  <c r="F19" i="24"/>
  <c r="F31" i="24" s="1"/>
  <c r="F32" i="24" s="1"/>
  <c r="AD18" i="24"/>
  <c r="Q18" i="24"/>
  <c r="H18" i="24"/>
  <c r="H32" i="24" s="1"/>
  <c r="G18" i="24"/>
  <c r="F18" i="24"/>
  <c r="D18" i="24"/>
  <c r="N30" i="24" s="1"/>
  <c r="AD17" i="24"/>
  <c r="U17" i="24"/>
  <c r="Q17" i="24"/>
  <c r="H17" i="24"/>
  <c r="G17" i="24"/>
  <c r="F17" i="24"/>
  <c r="D17" i="24"/>
  <c r="O29" i="24" s="1"/>
  <c r="AD16" i="24"/>
  <c r="Q16" i="24"/>
  <c r="H16" i="24"/>
  <c r="H30" i="24" s="1"/>
  <c r="F16" i="24"/>
  <c r="F30" i="24" s="1"/>
  <c r="D16" i="24"/>
  <c r="O28" i="24" s="1"/>
  <c r="H34" i="23"/>
  <c r="G30" i="23"/>
  <c r="P28" i="23"/>
  <c r="G28" i="23"/>
  <c r="G29" i="23" s="1"/>
  <c r="X26" i="23"/>
  <c r="H26" i="23"/>
  <c r="F26" i="23"/>
  <c r="R23" i="23"/>
  <c r="AD22" i="23"/>
  <c r="V22" i="23"/>
  <c r="Q22" i="23"/>
  <c r="H22" i="23"/>
  <c r="G22" i="23"/>
  <c r="F22" i="23"/>
  <c r="D22" i="23"/>
  <c r="AD21" i="23"/>
  <c r="Q21" i="23"/>
  <c r="H21" i="23"/>
  <c r="H33" i="23" s="1"/>
  <c r="G21" i="23"/>
  <c r="G33" i="23" s="1"/>
  <c r="G34" i="23" s="1"/>
  <c r="F21" i="23"/>
  <c r="F33" i="23" s="1"/>
  <c r="F34" i="23" s="1"/>
  <c r="D21" i="23"/>
  <c r="V21" i="23" s="1"/>
  <c r="AD20" i="23"/>
  <c r="Q20" i="23"/>
  <c r="D20" i="23" s="1"/>
  <c r="H20" i="23"/>
  <c r="G20" i="23"/>
  <c r="F20" i="23"/>
  <c r="AD19" i="23"/>
  <c r="Q19" i="23"/>
  <c r="D19" i="23" s="1"/>
  <c r="K31" i="23" s="1"/>
  <c r="H19" i="23"/>
  <c r="H31" i="23" s="1"/>
  <c r="G19" i="23"/>
  <c r="G31" i="23" s="1"/>
  <c r="G32" i="23" s="1"/>
  <c r="F19" i="23"/>
  <c r="F31" i="23" s="1"/>
  <c r="F32" i="23" s="1"/>
  <c r="AD18" i="23"/>
  <c r="Q18" i="23"/>
  <c r="D18" i="23" s="1"/>
  <c r="H18" i="23"/>
  <c r="H32" i="23" s="1"/>
  <c r="G18" i="23"/>
  <c r="F18" i="23"/>
  <c r="AD17" i="23"/>
  <c r="Q17" i="23"/>
  <c r="D17" i="23" s="1"/>
  <c r="O29" i="23" s="1"/>
  <c r="H17" i="23"/>
  <c r="G17" i="23"/>
  <c r="F17" i="23"/>
  <c r="AD16" i="23"/>
  <c r="Q16" i="23"/>
  <c r="D16" i="23" s="1"/>
  <c r="M28" i="23" s="1"/>
  <c r="H16" i="23"/>
  <c r="H28" i="23" s="1"/>
  <c r="H29" i="23" s="1"/>
  <c r="F16" i="23"/>
  <c r="F28" i="23" s="1"/>
  <c r="F29" i="23" s="1"/>
  <c r="H34" i="22"/>
  <c r="G30" i="22"/>
  <c r="P28" i="22"/>
  <c r="G28" i="22"/>
  <c r="G29" i="22" s="1"/>
  <c r="X26" i="22"/>
  <c r="H26" i="22"/>
  <c r="F26" i="22"/>
  <c r="R23" i="22"/>
  <c r="AD22" i="22"/>
  <c r="Q22" i="22"/>
  <c r="D22" i="22" s="1"/>
  <c r="H22" i="22"/>
  <c r="G22" i="22"/>
  <c r="F22" i="22"/>
  <c r="AD21" i="22"/>
  <c r="Q21" i="22"/>
  <c r="D21" i="22" s="1"/>
  <c r="H21" i="22"/>
  <c r="H33" i="22" s="1"/>
  <c r="G21" i="22"/>
  <c r="G33" i="22" s="1"/>
  <c r="G34" i="22" s="1"/>
  <c r="F21" i="22"/>
  <c r="F33" i="22" s="1"/>
  <c r="F34" i="22" s="1"/>
  <c r="AD20" i="22"/>
  <c r="Q20" i="22"/>
  <c r="D20" i="22" s="1"/>
  <c r="H20" i="22"/>
  <c r="G20" i="22"/>
  <c r="F20" i="22"/>
  <c r="AD19" i="22"/>
  <c r="Q19" i="22"/>
  <c r="D19" i="22" s="1"/>
  <c r="H19" i="22"/>
  <c r="H31" i="22" s="1"/>
  <c r="G19" i="22"/>
  <c r="G31" i="22" s="1"/>
  <c r="G32" i="22" s="1"/>
  <c r="F19" i="22"/>
  <c r="F31" i="22" s="1"/>
  <c r="F32" i="22" s="1"/>
  <c r="AD18" i="22"/>
  <c r="Q18" i="22"/>
  <c r="D18" i="22" s="1"/>
  <c r="H18" i="22"/>
  <c r="H32" i="22" s="1"/>
  <c r="G18" i="22"/>
  <c r="F18" i="22"/>
  <c r="AD17" i="22"/>
  <c r="Q17" i="22"/>
  <c r="D17" i="22" s="1"/>
  <c r="H17" i="22"/>
  <c r="G17" i="22"/>
  <c r="F17" i="22"/>
  <c r="AD16" i="22"/>
  <c r="Q16" i="22"/>
  <c r="D16" i="22" s="1"/>
  <c r="H16" i="22"/>
  <c r="H28" i="22" s="1"/>
  <c r="H29" i="22" s="1"/>
  <c r="F16" i="22"/>
  <c r="F28" i="22" s="1"/>
  <c r="F29" i="22" s="1"/>
  <c r="K32" i="21"/>
  <c r="G30" i="21"/>
  <c r="P28" i="21"/>
  <c r="G28" i="21"/>
  <c r="G29" i="21" s="1"/>
  <c r="X26" i="21"/>
  <c r="H26" i="21"/>
  <c r="F26" i="21"/>
  <c r="R23" i="21"/>
  <c r="AD22" i="21"/>
  <c r="Q22" i="21"/>
  <c r="D22" i="21" s="1"/>
  <c r="H22" i="21"/>
  <c r="G22" i="21"/>
  <c r="F22" i="21"/>
  <c r="AD21" i="21"/>
  <c r="Q21" i="21"/>
  <c r="D21" i="21" s="1"/>
  <c r="O33" i="21" s="1"/>
  <c r="H21" i="21"/>
  <c r="H33" i="21" s="1"/>
  <c r="G21" i="21"/>
  <c r="G33" i="21" s="1"/>
  <c r="G34" i="21" s="1"/>
  <c r="F21" i="21"/>
  <c r="F33" i="21" s="1"/>
  <c r="F34" i="21" s="1"/>
  <c r="AD20" i="21"/>
  <c r="U20" i="21"/>
  <c r="Q20" i="21"/>
  <c r="H20" i="21"/>
  <c r="H34" i="21" s="1"/>
  <c r="G20" i="21"/>
  <c r="F20" i="21"/>
  <c r="D20" i="21"/>
  <c r="N32" i="21" s="1"/>
  <c r="AD19" i="21"/>
  <c r="Q19" i="21"/>
  <c r="D19" i="21" s="1"/>
  <c r="O31" i="21" s="1"/>
  <c r="H19" i="21"/>
  <c r="H31" i="21" s="1"/>
  <c r="G19" i="21"/>
  <c r="G31" i="21" s="1"/>
  <c r="G32" i="21" s="1"/>
  <c r="F19" i="21"/>
  <c r="F31" i="21" s="1"/>
  <c r="F32" i="21" s="1"/>
  <c r="AD18" i="21"/>
  <c r="Q18" i="21"/>
  <c r="H18" i="21"/>
  <c r="H32" i="21" s="1"/>
  <c r="G18" i="21"/>
  <c r="F18" i="21"/>
  <c r="D18" i="21"/>
  <c r="N30" i="21" s="1"/>
  <c r="AD17" i="21"/>
  <c r="Q17" i="21"/>
  <c r="H17" i="21"/>
  <c r="G17" i="21"/>
  <c r="F17" i="21"/>
  <c r="D17" i="21"/>
  <c r="O29" i="21" s="1"/>
  <c r="AD16" i="21"/>
  <c r="Q16" i="21"/>
  <c r="D16" i="21" s="1"/>
  <c r="H16" i="21"/>
  <c r="F16" i="21"/>
  <c r="F30" i="21" s="1"/>
  <c r="AD16" i="20"/>
  <c r="AE16" i="20" s="1"/>
  <c r="AD17" i="20"/>
  <c r="AD18" i="20"/>
  <c r="AE18" i="20" s="1"/>
  <c r="AD19" i="20"/>
  <c r="AE19" i="20" s="1"/>
  <c r="AD20" i="20"/>
  <c r="AE20" i="20" s="1"/>
  <c r="AD21" i="20"/>
  <c r="AE21" i="20" s="1"/>
  <c r="AD22" i="20"/>
  <c r="AE22" i="20" s="1"/>
  <c r="G30" i="20"/>
  <c r="P28" i="20"/>
  <c r="G28" i="20"/>
  <c r="G29" i="20" s="1"/>
  <c r="X26" i="20"/>
  <c r="H26" i="20"/>
  <c r="F26" i="20"/>
  <c r="R23" i="20"/>
  <c r="Q22" i="20"/>
  <c r="H22" i="20"/>
  <c r="G22" i="20"/>
  <c r="F22" i="20"/>
  <c r="D22" i="20"/>
  <c r="N34" i="20" s="1"/>
  <c r="Q21" i="20"/>
  <c r="H21" i="20"/>
  <c r="H33" i="20" s="1"/>
  <c r="G21" i="20"/>
  <c r="G33" i="20" s="1"/>
  <c r="G34" i="20" s="1"/>
  <c r="F21" i="20"/>
  <c r="F33" i="20" s="1"/>
  <c r="F34" i="20" s="1"/>
  <c r="D21" i="20"/>
  <c r="O33" i="20" s="1"/>
  <c r="Q20" i="20"/>
  <c r="H20" i="20"/>
  <c r="H34" i="20" s="1"/>
  <c r="G20" i="20"/>
  <c r="F20" i="20"/>
  <c r="D20" i="20"/>
  <c r="N32" i="20" s="1"/>
  <c r="Q19" i="20"/>
  <c r="D19" i="20" s="1"/>
  <c r="O31" i="20" s="1"/>
  <c r="H19" i="20"/>
  <c r="H31" i="20" s="1"/>
  <c r="G19" i="20"/>
  <c r="G31" i="20" s="1"/>
  <c r="G32" i="20" s="1"/>
  <c r="F19" i="20"/>
  <c r="F31" i="20" s="1"/>
  <c r="F32" i="20" s="1"/>
  <c r="Q18" i="20"/>
  <c r="D18" i="20" s="1"/>
  <c r="N30" i="20" s="1"/>
  <c r="H18" i="20"/>
  <c r="H32" i="20" s="1"/>
  <c r="G18" i="20"/>
  <c r="F18" i="20"/>
  <c r="U17" i="20"/>
  <c r="Q17" i="20"/>
  <c r="H17" i="20"/>
  <c r="G17" i="20"/>
  <c r="F17" i="20"/>
  <c r="D17" i="20"/>
  <c r="O29" i="20" s="1"/>
  <c r="Q16" i="20"/>
  <c r="D16" i="20" s="1"/>
  <c r="O28" i="20" s="1"/>
  <c r="H16" i="20"/>
  <c r="H30" i="20" s="1"/>
  <c r="F16" i="20"/>
  <c r="F30" i="20" s="1"/>
  <c r="G22" i="19"/>
  <c r="G21" i="19"/>
  <c r="G20" i="19"/>
  <c r="G19" i="19"/>
  <c r="G31" i="19" s="1"/>
  <c r="G32" i="19" s="1"/>
  <c r="G18" i="19"/>
  <c r="G17" i="19"/>
  <c r="H33" i="19"/>
  <c r="G33" i="19"/>
  <c r="G34" i="19" s="1"/>
  <c r="H31" i="19"/>
  <c r="G30" i="19"/>
  <c r="P28" i="19"/>
  <c r="G28" i="19"/>
  <c r="G29" i="19" s="1"/>
  <c r="X26" i="19"/>
  <c r="H26" i="19"/>
  <c r="F26" i="19"/>
  <c r="R23" i="19"/>
  <c r="AD22" i="19"/>
  <c r="Q22" i="19"/>
  <c r="D22" i="19" s="1"/>
  <c r="AE22" i="19" s="1"/>
  <c r="H22" i="19"/>
  <c r="F22" i="19"/>
  <c r="AD21" i="19"/>
  <c r="Q21" i="19"/>
  <c r="D21" i="19" s="1"/>
  <c r="V21" i="19" s="1"/>
  <c r="H21" i="19"/>
  <c r="F21" i="19"/>
  <c r="F33" i="19" s="1"/>
  <c r="F34" i="19" s="1"/>
  <c r="AD20" i="19"/>
  <c r="Q20" i="19"/>
  <c r="H20" i="19"/>
  <c r="H34" i="19" s="1"/>
  <c r="F20" i="19"/>
  <c r="D20" i="19"/>
  <c r="AD19" i="19"/>
  <c r="Q19" i="19"/>
  <c r="D19" i="19" s="1"/>
  <c r="H19" i="19"/>
  <c r="F19" i="19"/>
  <c r="F31" i="19" s="1"/>
  <c r="F32" i="19" s="1"/>
  <c r="AD18" i="19"/>
  <c r="Q18" i="19"/>
  <c r="H18" i="19"/>
  <c r="H32" i="19" s="1"/>
  <c r="F18" i="19"/>
  <c r="D18" i="19"/>
  <c r="K30" i="19" s="1"/>
  <c r="AD17" i="19"/>
  <c r="V17" i="19"/>
  <c r="Q17" i="19"/>
  <c r="D17" i="19" s="1"/>
  <c r="N29" i="19" s="1"/>
  <c r="H17" i="19"/>
  <c r="F17" i="19"/>
  <c r="AD16" i="19"/>
  <c r="Q16" i="19"/>
  <c r="D16" i="19" s="1"/>
  <c r="U16" i="19" s="1"/>
  <c r="H16" i="19"/>
  <c r="H30" i="19" s="1"/>
  <c r="F16" i="19"/>
  <c r="F30" i="19" s="1"/>
  <c r="G33" i="14"/>
  <c r="G34" i="14" s="1"/>
  <c r="R23" i="14"/>
  <c r="C12" i="14" s="1"/>
  <c r="AD22" i="14"/>
  <c r="Q22" i="14"/>
  <c r="D22" i="14" s="1"/>
  <c r="O34" i="14" s="1"/>
  <c r="H22" i="14"/>
  <c r="F22" i="14"/>
  <c r="AD21" i="14"/>
  <c r="Q21" i="14"/>
  <c r="D21" i="14" s="1"/>
  <c r="O33" i="14" s="1"/>
  <c r="H21" i="14"/>
  <c r="H33" i="14" s="1"/>
  <c r="F21" i="14"/>
  <c r="F33" i="14" s="1"/>
  <c r="F34" i="14" s="1"/>
  <c r="O29" i="25" l="1"/>
  <c r="N29" i="25"/>
  <c r="J29" i="25"/>
  <c r="U17" i="25"/>
  <c r="O33" i="24"/>
  <c r="U21" i="24"/>
  <c r="O31" i="24"/>
  <c r="U19" i="24"/>
  <c r="N34" i="21"/>
  <c r="M34" i="21"/>
  <c r="I34" i="21"/>
  <c r="U22" i="21"/>
  <c r="L32" i="23"/>
  <c r="V20" i="23"/>
  <c r="N30" i="23"/>
  <c r="J30" i="23"/>
  <c r="V18" i="23"/>
  <c r="O31" i="25"/>
  <c r="N31" i="25"/>
  <c r="J31" i="25"/>
  <c r="U19" i="25"/>
  <c r="C16" i="23"/>
  <c r="A17" i="23" s="1"/>
  <c r="C17" i="23" s="1"/>
  <c r="A18" i="23" s="1"/>
  <c r="C18" i="23" s="1"/>
  <c r="A19" i="23" s="1"/>
  <c r="C19" i="23" s="1"/>
  <c r="A20" i="23" s="1"/>
  <c r="C20" i="23" s="1"/>
  <c r="A21" i="23" s="1"/>
  <c r="C21" i="23" s="1"/>
  <c r="A22" i="23" s="1"/>
  <c r="C22" i="23" s="1"/>
  <c r="I28" i="23"/>
  <c r="I30" i="21"/>
  <c r="U21" i="25"/>
  <c r="F28" i="25"/>
  <c r="F29" i="25" s="1"/>
  <c r="U18" i="21"/>
  <c r="M30" i="21"/>
  <c r="V16" i="23"/>
  <c r="O32" i="21"/>
  <c r="H30" i="23"/>
  <c r="AE17" i="20"/>
  <c r="AE23" i="20" s="1"/>
  <c r="H30" i="22"/>
  <c r="I33" i="14"/>
  <c r="K33" i="14"/>
  <c r="M33" i="14"/>
  <c r="N33" i="14"/>
  <c r="J34" i="14"/>
  <c r="L34" i="14"/>
  <c r="N34" i="14"/>
  <c r="J33" i="14"/>
  <c r="L33" i="14"/>
  <c r="I34" i="14"/>
  <c r="K34" i="14"/>
  <c r="M34" i="14"/>
  <c r="W18" i="25"/>
  <c r="AE18" i="25"/>
  <c r="W20" i="25"/>
  <c r="AE20" i="25"/>
  <c r="W22" i="25"/>
  <c r="AE22" i="25"/>
  <c r="I30" i="25"/>
  <c r="M30" i="25"/>
  <c r="K32" i="25"/>
  <c r="O32" i="25"/>
  <c r="I34" i="25"/>
  <c r="M34" i="25"/>
  <c r="W17" i="25"/>
  <c r="AE17" i="25"/>
  <c r="U18" i="25"/>
  <c r="W19" i="25"/>
  <c r="AE19" i="25"/>
  <c r="U20" i="25"/>
  <c r="W21" i="25"/>
  <c r="AE21" i="25"/>
  <c r="U22" i="25"/>
  <c r="L29" i="25"/>
  <c r="K30" i="25"/>
  <c r="O30" i="25"/>
  <c r="L31" i="25"/>
  <c r="I32" i="25"/>
  <c r="M32" i="25"/>
  <c r="J33" i="25"/>
  <c r="N33" i="25"/>
  <c r="K34" i="25"/>
  <c r="O34" i="25"/>
  <c r="O28" i="25"/>
  <c r="M28" i="25"/>
  <c r="K28" i="25"/>
  <c r="I28" i="25"/>
  <c r="D23" i="25"/>
  <c r="V16" i="25"/>
  <c r="C16" i="25"/>
  <c r="A17" i="25" s="1"/>
  <c r="C17" i="25" s="1"/>
  <c r="A18" i="25" s="1"/>
  <c r="C18" i="25" s="1"/>
  <c r="A19" i="25" s="1"/>
  <c r="C19" i="25" s="1"/>
  <c r="A20" i="25" s="1"/>
  <c r="C20" i="25" s="1"/>
  <c r="A21" i="25" s="1"/>
  <c r="C21" i="25" s="1"/>
  <c r="A22" i="25" s="1"/>
  <c r="C22" i="25" s="1"/>
  <c r="N28" i="25"/>
  <c r="N35" i="25" s="1"/>
  <c r="L28" i="25"/>
  <c r="J28" i="25"/>
  <c r="H30" i="25"/>
  <c r="H28" i="25"/>
  <c r="H29" i="25" s="1"/>
  <c r="U16" i="25"/>
  <c r="W16" i="25"/>
  <c r="AE16" i="25"/>
  <c r="V17" i="25"/>
  <c r="V18" i="25"/>
  <c r="V19" i="25"/>
  <c r="V20" i="25"/>
  <c r="V21" i="25"/>
  <c r="V22" i="25"/>
  <c r="I29" i="25"/>
  <c r="K29" i="25"/>
  <c r="M29" i="25"/>
  <c r="J30" i="25"/>
  <c r="L30" i="25"/>
  <c r="I31" i="25"/>
  <c r="K31" i="25"/>
  <c r="M31" i="25"/>
  <c r="J32" i="25"/>
  <c r="L32" i="25"/>
  <c r="I33" i="25"/>
  <c r="K33" i="25"/>
  <c r="M33" i="25"/>
  <c r="J34" i="25"/>
  <c r="L34" i="25"/>
  <c r="W18" i="24"/>
  <c r="AE18" i="24"/>
  <c r="W20" i="24"/>
  <c r="AE20" i="24"/>
  <c r="W22" i="24"/>
  <c r="AE22" i="24"/>
  <c r="W17" i="24"/>
  <c r="AE17" i="24"/>
  <c r="U18" i="24"/>
  <c r="W19" i="24"/>
  <c r="AE19" i="24"/>
  <c r="U20" i="24"/>
  <c r="W21" i="24"/>
  <c r="AE21" i="24"/>
  <c r="U22" i="24"/>
  <c r="U16" i="24"/>
  <c r="W16" i="24"/>
  <c r="AE16" i="24"/>
  <c r="F28" i="24"/>
  <c r="F29" i="24" s="1"/>
  <c r="H28" i="24"/>
  <c r="H29" i="24" s="1"/>
  <c r="J28" i="24"/>
  <c r="L28" i="24"/>
  <c r="N28" i="24"/>
  <c r="J29" i="24"/>
  <c r="L29" i="24"/>
  <c r="N29" i="24"/>
  <c r="I30" i="24"/>
  <c r="K30" i="24"/>
  <c r="M30" i="24"/>
  <c r="O30" i="24"/>
  <c r="J31" i="24"/>
  <c r="L31" i="24"/>
  <c r="N31" i="24"/>
  <c r="I32" i="24"/>
  <c r="K32" i="24"/>
  <c r="M32" i="24"/>
  <c r="O32" i="24"/>
  <c r="J33" i="24"/>
  <c r="L33" i="24"/>
  <c r="N33" i="24"/>
  <c r="I34" i="24"/>
  <c r="K34" i="24"/>
  <c r="M34" i="24"/>
  <c r="O34" i="24"/>
  <c r="C16" i="24"/>
  <c r="A17" i="24" s="1"/>
  <c r="C17" i="24" s="1"/>
  <c r="A18" i="24" s="1"/>
  <c r="C18" i="24" s="1"/>
  <c r="A19" i="24" s="1"/>
  <c r="C19" i="24" s="1"/>
  <c r="A20" i="24" s="1"/>
  <c r="C20" i="24" s="1"/>
  <c r="A21" i="24" s="1"/>
  <c r="C21" i="24" s="1"/>
  <c r="A22" i="24" s="1"/>
  <c r="C22" i="24" s="1"/>
  <c r="V16" i="24"/>
  <c r="V17" i="24"/>
  <c r="V18" i="24"/>
  <c r="V19" i="24"/>
  <c r="V20" i="24"/>
  <c r="V21" i="24"/>
  <c r="V22" i="24"/>
  <c r="D23" i="24"/>
  <c r="I28" i="24"/>
  <c r="K28" i="24"/>
  <c r="M28" i="24"/>
  <c r="I29" i="24"/>
  <c r="K29" i="24"/>
  <c r="M29" i="24"/>
  <c r="J30" i="24"/>
  <c r="L30" i="24"/>
  <c r="I31" i="24"/>
  <c r="K31" i="24"/>
  <c r="M31" i="24"/>
  <c r="J32" i="24"/>
  <c r="L32" i="24"/>
  <c r="I33" i="24"/>
  <c r="K33" i="24"/>
  <c r="M33" i="24"/>
  <c r="J34" i="24"/>
  <c r="L34" i="24"/>
  <c r="D23" i="23"/>
  <c r="K29" i="23"/>
  <c r="O31" i="23"/>
  <c r="V17" i="23"/>
  <c r="V19" i="23"/>
  <c r="N28" i="23"/>
  <c r="L28" i="23"/>
  <c r="J28" i="23"/>
  <c r="W16" i="23"/>
  <c r="U16" i="23"/>
  <c r="AE16" i="23"/>
  <c r="N29" i="23"/>
  <c r="L29" i="23"/>
  <c r="J29" i="23"/>
  <c r="W17" i="23"/>
  <c r="U17" i="23"/>
  <c r="AE17" i="23"/>
  <c r="O30" i="23"/>
  <c r="M30" i="23"/>
  <c r="K30" i="23"/>
  <c r="I30" i="23"/>
  <c r="W18" i="23"/>
  <c r="U18" i="23"/>
  <c r="AE18" i="23"/>
  <c r="N31" i="23"/>
  <c r="L31" i="23"/>
  <c r="J31" i="23"/>
  <c r="W19" i="23"/>
  <c r="U19" i="23"/>
  <c r="AE19" i="23"/>
  <c r="O32" i="23"/>
  <c r="M32" i="23"/>
  <c r="K32" i="23"/>
  <c r="I32" i="23"/>
  <c r="W20" i="23"/>
  <c r="U20" i="23"/>
  <c r="AE20" i="23"/>
  <c r="N33" i="23"/>
  <c r="L33" i="23"/>
  <c r="J33" i="23"/>
  <c r="W21" i="23"/>
  <c r="U21" i="23"/>
  <c r="O33" i="23"/>
  <c r="M33" i="23"/>
  <c r="K33" i="23"/>
  <c r="I33" i="23"/>
  <c r="AE21" i="23"/>
  <c r="O34" i="23"/>
  <c r="M34" i="23"/>
  <c r="K34" i="23"/>
  <c r="I34" i="23"/>
  <c r="W22" i="23"/>
  <c r="U22" i="23"/>
  <c r="N34" i="23"/>
  <c r="L34" i="23"/>
  <c r="J34" i="23"/>
  <c r="AE22" i="23"/>
  <c r="K28" i="23"/>
  <c r="O28" i="23"/>
  <c r="I29" i="23"/>
  <c r="M29" i="23"/>
  <c r="F30" i="23"/>
  <c r="L30" i="23"/>
  <c r="I31" i="23"/>
  <c r="M31" i="23"/>
  <c r="J32" i="23"/>
  <c r="N32" i="23"/>
  <c r="N28" i="22"/>
  <c r="L28" i="22"/>
  <c r="J28" i="22"/>
  <c r="W16" i="22"/>
  <c r="U16" i="22"/>
  <c r="AE16" i="22"/>
  <c r="N29" i="22"/>
  <c r="L29" i="22"/>
  <c r="J29" i="22"/>
  <c r="W17" i="22"/>
  <c r="U17" i="22"/>
  <c r="AE17" i="22"/>
  <c r="O30" i="22"/>
  <c r="M30" i="22"/>
  <c r="K30" i="22"/>
  <c r="I30" i="22"/>
  <c r="W18" i="22"/>
  <c r="U18" i="22"/>
  <c r="AE18" i="22"/>
  <c r="N31" i="22"/>
  <c r="L31" i="22"/>
  <c r="J31" i="22"/>
  <c r="W19" i="22"/>
  <c r="U19" i="22"/>
  <c r="AE19" i="22"/>
  <c r="O32" i="22"/>
  <c r="M32" i="22"/>
  <c r="K32" i="22"/>
  <c r="I32" i="22"/>
  <c r="W20" i="22"/>
  <c r="U20" i="22"/>
  <c r="AE20" i="22"/>
  <c r="N33" i="22"/>
  <c r="L33" i="22"/>
  <c r="J33" i="22"/>
  <c r="W21" i="22"/>
  <c r="U21" i="22"/>
  <c r="O33" i="22"/>
  <c r="M33" i="22"/>
  <c r="K33" i="22"/>
  <c r="I33" i="22"/>
  <c r="AE21" i="22"/>
  <c r="O34" i="22"/>
  <c r="M34" i="22"/>
  <c r="K34" i="22"/>
  <c r="I34" i="22"/>
  <c r="W22" i="22"/>
  <c r="U22" i="22"/>
  <c r="N34" i="22"/>
  <c r="L34" i="22"/>
  <c r="J34" i="22"/>
  <c r="AE22" i="22"/>
  <c r="K28" i="22"/>
  <c r="O28" i="22"/>
  <c r="I29" i="22"/>
  <c r="M29" i="22"/>
  <c r="F30" i="22"/>
  <c r="L30" i="22"/>
  <c r="I31" i="22"/>
  <c r="M31" i="22"/>
  <c r="J32" i="22"/>
  <c r="N32" i="22"/>
  <c r="C16" i="22"/>
  <c r="A17" i="22" s="1"/>
  <c r="C17" i="22" s="1"/>
  <c r="A18" i="22" s="1"/>
  <c r="C18" i="22" s="1"/>
  <c r="A19" i="22" s="1"/>
  <c r="C19" i="22" s="1"/>
  <c r="A20" i="22" s="1"/>
  <c r="C20" i="22" s="1"/>
  <c r="A21" i="22" s="1"/>
  <c r="C21" i="22" s="1"/>
  <c r="A22" i="22" s="1"/>
  <c r="C22" i="22" s="1"/>
  <c r="V16" i="22"/>
  <c r="V17" i="22"/>
  <c r="V18" i="22"/>
  <c r="V19" i="22"/>
  <c r="V20" i="22"/>
  <c r="V21" i="22"/>
  <c r="V22" i="22"/>
  <c r="D23" i="22"/>
  <c r="I28" i="22"/>
  <c r="M28" i="22"/>
  <c r="K29" i="22"/>
  <c r="O29" i="22"/>
  <c r="J30" i="22"/>
  <c r="N30" i="22"/>
  <c r="K31" i="22"/>
  <c r="O31" i="22"/>
  <c r="L32" i="22"/>
  <c r="W17" i="21"/>
  <c r="AE17" i="21"/>
  <c r="W19" i="21"/>
  <c r="AE19" i="21"/>
  <c r="W21" i="21"/>
  <c r="AE21" i="21"/>
  <c r="J29" i="21"/>
  <c r="N29" i="21"/>
  <c r="J31" i="21"/>
  <c r="N31" i="21"/>
  <c r="L33" i="21"/>
  <c r="U17" i="21"/>
  <c r="W18" i="21"/>
  <c r="AE18" i="21"/>
  <c r="U19" i="21"/>
  <c r="W20" i="21"/>
  <c r="AE20" i="21"/>
  <c r="U21" i="21"/>
  <c r="W22" i="21"/>
  <c r="AE22" i="21"/>
  <c r="L29" i="21"/>
  <c r="K30" i="21"/>
  <c r="O30" i="21"/>
  <c r="L31" i="21"/>
  <c r="I32" i="21"/>
  <c r="M32" i="21"/>
  <c r="J33" i="21"/>
  <c r="N33" i="21"/>
  <c r="K34" i="21"/>
  <c r="O34" i="21"/>
  <c r="F28" i="21"/>
  <c r="F29" i="21" s="1"/>
  <c r="O28" i="21"/>
  <c r="M28" i="21"/>
  <c r="K28" i="21"/>
  <c r="I28" i="21"/>
  <c r="D23" i="21"/>
  <c r="V16" i="21"/>
  <c r="C16" i="21"/>
  <c r="A17" i="21" s="1"/>
  <c r="C17" i="21" s="1"/>
  <c r="A18" i="21" s="1"/>
  <c r="C18" i="21" s="1"/>
  <c r="A19" i="21" s="1"/>
  <c r="C19" i="21" s="1"/>
  <c r="A20" i="21" s="1"/>
  <c r="C20" i="21" s="1"/>
  <c r="A21" i="21" s="1"/>
  <c r="C21" i="21" s="1"/>
  <c r="A22" i="21" s="1"/>
  <c r="C22" i="21" s="1"/>
  <c r="N28" i="21"/>
  <c r="L28" i="21"/>
  <c r="J28" i="21"/>
  <c r="H30" i="21"/>
  <c r="H28" i="21"/>
  <c r="H29" i="21" s="1"/>
  <c r="U16" i="21"/>
  <c r="W16" i="21"/>
  <c r="AE16" i="21"/>
  <c r="AE23" i="21" s="1"/>
  <c r="V17" i="21"/>
  <c r="V18" i="21"/>
  <c r="V19" i="21"/>
  <c r="V20" i="21"/>
  <c r="V21" i="21"/>
  <c r="V22" i="21"/>
  <c r="I29" i="21"/>
  <c r="K29" i="21"/>
  <c r="M29" i="21"/>
  <c r="J30" i="21"/>
  <c r="L30" i="21"/>
  <c r="I31" i="21"/>
  <c r="K31" i="21"/>
  <c r="M31" i="21"/>
  <c r="J32" i="21"/>
  <c r="L32" i="21"/>
  <c r="Q32" i="21" s="1"/>
  <c r="I33" i="21"/>
  <c r="K33" i="21"/>
  <c r="M33" i="21"/>
  <c r="J34" i="21"/>
  <c r="L34" i="21"/>
  <c r="U21" i="20"/>
  <c r="U19" i="20"/>
  <c r="W18" i="20"/>
  <c r="W20" i="20"/>
  <c r="W22" i="20"/>
  <c r="W17" i="20"/>
  <c r="U18" i="20"/>
  <c r="W19" i="20"/>
  <c r="U20" i="20"/>
  <c r="W21" i="20"/>
  <c r="U22" i="20"/>
  <c r="W16" i="20"/>
  <c r="F28" i="20"/>
  <c r="F29" i="20" s="1"/>
  <c r="H28" i="20"/>
  <c r="H29" i="20" s="1"/>
  <c r="J28" i="20"/>
  <c r="L28" i="20"/>
  <c r="N28" i="20"/>
  <c r="J29" i="20"/>
  <c r="L29" i="20"/>
  <c r="N29" i="20"/>
  <c r="I30" i="20"/>
  <c r="K30" i="20"/>
  <c r="M30" i="20"/>
  <c r="O30" i="20"/>
  <c r="J31" i="20"/>
  <c r="L31" i="20"/>
  <c r="N31" i="20"/>
  <c r="I32" i="20"/>
  <c r="K32" i="20"/>
  <c r="M32" i="20"/>
  <c r="O32" i="20"/>
  <c r="J33" i="20"/>
  <c r="L33" i="20"/>
  <c r="N33" i="20"/>
  <c r="I34" i="20"/>
  <c r="K34" i="20"/>
  <c r="M34" i="20"/>
  <c r="O34" i="20"/>
  <c r="U16" i="20"/>
  <c r="U23" i="20" s="1"/>
  <c r="C16" i="20"/>
  <c r="A17" i="20" s="1"/>
  <c r="C17" i="20" s="1"/>
  <c r="A18" i="20" s="1"/>
  <c r="C18" i="20" s="1"/>
  <c r="A19" i="20" s="1"/>
  <c r="C19" i="20" s="1"/>
  <c r="A20" i="20" s="1"/>
  <c r="C20" i="20" s="1"/>
  <c r="A21" i="20" s="1"/>
  <c r="C21" i="20" s="1"/>
  <c r="A22" i="20" s="1"/>
  <c r="C22" i="20" s="1"/>
  <c r="V16" i="20"/>
  <c r="V17" i="20"/>
  <c r="V18" i="20"/>
  <c r="V19" i="20"/>
  <c r="V20" i="20"/>
  <c r="V21" i="20"/>
  <c r="V22" i="20"/>
  <c r="D23" i="20"/>
  <c r="I28" i="20"/>
  <c r="K28" i="20"/>
  <c r="M28" i="20"/>
  <c r="I29" i="20"/>
  <c r="K29" i="20"/>
  <c r="M29" i="20"/>
  <c r="J30" i="20"/>
  <c r="L30" i="20"/>
  <c r="I31" i="20"/>
  <c r="K31" i="20"/>
  <c r="M31" i="20"/>
  <c r="J32" i="20"/>
  <c r="L32" i="20"/>
  <c r="I33" i="20"/>
  <c r="K33" i="20"/>
  <c r="M33" i="20"/>
  <c r="J34" i="20"/>
  <c r="L34" i="20"/>
  <c r="W18" i="19"/>
  <c r="AE18" i="19"/>
  <c r="J29" i="19"/>
  <c r="O30" i="19"/>
  <c r="V16" i="19"/>
  <c r="W22" i="19"/>
  <c r="W16" i="19"/>
  <c r="F28" i="19"/>
  <c r="F29" i="19" s="1"/>
  <c r="O28" i="19"/>
  <c r="M28" i="19"/>
  <c r="K28" i="19"/>
  <c r="I28" i="19"/>
  <c r="D23" i="19"/>
  <c r="C16" i="19"/>
  <c r="A17" i="19" s="1"/>
  <c r="C17" i="19" s="1"/>
  <c r="A18" i="19" s="1"/>
  <c r="C18" i="19" s="1"/>
  <c r="A19" i="19" s="1"/>
  <c r="C19" i="19" s="1"/>
  <c r="A20" i="19" s="1"/>
  <c r="C20" i="19" s="1"/>
  <c r="A21" i="19" s="1"/>
  <c r="C21" i="19" s="1"/>
  <c r="A22" i="19" s="1"/>
  <c r="C22" i="19" s="1"/>
  <c r="O31" i="19"/>
  <c r="M31" i="19"/>
  <c r="K31" i="19"/>
  <c r="I31" i="19"/>
  <c r="W19" i="19"/>
  <c r="U19" i="19"/>
  <c r="N31" i="19"/>
  <c r="AE19" i="19"/>
  <c r="N32" i="19"/>
  <c r="L32" i="19"/>
  <c r="J32" i="19"/>
  <c r="V20" i="19"/>
  <c r="O32" i="19"/>
  <c r="M32" i="19"/>
  <c r="K32" i="19"/>
  <c r="I32" i="19"/>
  <c r="Q32" i="19" s="1"/>
  <c r="U20" i="19"/>
  <c r="J28" i="19"/>
  <c r="N28" i="19"/>
  <c r="J31" i="19"/>
  <c r="AE16" i="19"/>
  <c r="O29" i="19"/>
  <c r="M29" i="19"/>
  <c r="K29" i="19"/>
  <c r="I29" i="19"/>
  <c r="W17" i="19"/>
  <c r="U17" i="19"/>
  <c r="AE17" i="19"/>
  <c r="N30" i="19"/>
  <c r="L30" i="19"/>
  <c r="J30" i="19"/>
  <c r="V18" i="19"/>
  <c r="U18" i="19"/>
  <c r="V19" i="19"/>
  <c r="W20" i="19"/>
  <c r="AE20" i="19"/>
  <c r="O33" i="19"/>
  <c r="M33" i="19"/>
  <c r="K33" i="19"/>
  <c r="I33" i="19"/>
  <c r="W21" i="19"/>
  <c r="U21" i="19"/>
  <c r="N33" i="19"/>
  <c r="L33" i="19"/>
  <c r="J33" i="19"/>
  <c r="AE21" i="19"/>
  <c r="N34" i="19"/>
  <c r="L34" i="19"/>
  <c r="J34" i="19"/>
  <c r="V22" i="19"/>
  <c r="O34" i="19"/>
  <c r="M34" i="19"/>
  <c r="K34" i="19"/>
  <c r="I34" i="19"/>
  <c r="U22" i="19"/>
  <c r="H28" i="19"/>
  <c r="H29" i="19" s="1"/>
  <c r="L28" i="19"/>
  <c r="L29" i="19"/>
  <c r="I30" i="19"/>
  <c r="M30" i="19"/>
  <c r="L31" i="19"/>
  <c r="W21" i="14"/>
  <c r="U21" i="14"/>
  <c r="AE21" i="14"/>
  <c r="V21" i="14"/>
  <c r="W22" i="14"/>
  <c r="U22" i="14"/>
  <c r="AE22" i="14"/>
  <c r="V22" i="14"/>
  <c r="M35" i="22" l="1"/>
  <c r="Q32" i="25"/>
  <c r="AE23" i="24"/>
  <c r="W23" i="24"/>
  <c r="U23" i="24"/>
  <c r="Q34" i="21"/>
  <c r="V23" i="23"/>
  <c r="AE23" i="25"/>
  <c r="Q30" i="19"/>
  <c r="Q30" i="25"/>
  <c r="U23" i="25"/>
  <c r="O35" i="25"/>
  <c r="Q33" i="22"/>
  <c r="Q34" i="25"/>
  <c r="Q30" i="21"/>
  <c r="U23" i="21"/>
  <c r="O35" i="21"/>
  <c r="O35" i="23"/>
  <c r="Q34" i="14"/>
  <c r="Q33" i="14"/>
  <c r="W23" i="25"/>
  <c r="Q31" i="25"/>
  <c r="J35" i="25"/>
  <c r="V23" i="25"/>
  <c r="Q28" i="25"/>
  <c r="I35" i="25"/>
  <c r="M35" i="25"/>
  <c r="Q33" i="25"/>
  <c r="Q29" i="25"/>
  <c r="L35" i="25"/>
  <c r="K35" i="25"/>
  <c r="O35" i="24"/>
  <c r="Q31" i="24"/>
  <c r="M35" i="24"/>
  <c r="Q28" i="24"/>
  <c r="I35" i="24"/>
  <c r="V23" i="24"/>
  <c r="Q32" i="24"/>
  <c r="L35" i="24"/>
  <c r="Q33" i="24"/>
  <c r="Q29" i="24"/>
  <c r="K35" i="24"/>
  <c r="Q34" i="24"/>
  <c r="Q30" i="24"/>
  <c r="N35" i="24"/>
  <c r="J35" i="24"/>
  <c r="M35" i="23"/>
  <c r="Q31" i="23"/>
  <c r="Q29" i="23"/>
  <c r="Q34" i="23"/>
  <c r="Q30" i="23"/>
  <c r="AE23" i="23"/>
  <c r="W23" i="23"/>
  <c r="L35" i="23"/>
  <c r="Q28" i="23"/>
  <c r="K35" i="23"/>
  <c r="Q33" i="23"/>
  <c r="Q32" i="23"/>
  <c r="U23" i="23"/>
  <c r="J35" i="23"/>
  <c r="N35" i="23"/>
  <c r="I35" i="23"/>
  <c r="K35" i="22"/>
  <c r="Q31" i="22"/>
  <c r="Q29" i="22"/>
  <c r="Q32" i="22"/>
  <c r="U23" i="22"/>
  <c r="J35" i="22"/>
  <c r="N35" i="22"/>
  <c r="I35" i="22"/>
  <c r="Q28" i="22"/>
  <c r="V23" i="22"/>
  <c r="O35" i="22"/>
  <c r="Q34" i="22"/>
  <c r="Q30" i="22"/>
  <c r="AE23" i="22"/>
  <c r="W23" i="22"/>
  <c r="L35" i="22"/>
  <c r="W23" i="21"/>
  <c r="N35" i="21"/>
  <c r="Q31" i="21"/>
  <c r="J35" i="21"/>
  <c r="V23" i="21"/>
  <c r="Q28" i="21"/>
  <c r="I35" i="21"/>
  <c r="M35" i="21"/>
  <c r="Q33" i="21"/>
  <c r="Q29" i="21"/>
  <c r="L35" i="21"/>
  <c r="K35" i="21"/>
  <c r="W23" i="20"/>
  <c r="O35" i="20"/>
  <c r="Q31" i="20"/>
  <c r="M35" i="20"/>
  <c r="Q28" i="20"/>
  <c r="I35" i="20"/>
  <c r="V23" i="20"/>
  <c r="Q32" i="20"/>
  <c r="L35" i="20"/>
  <c r="Q33" i="20"/>
  <c r="Q29" i="20"/>
  <c r="K35" i="20"/>
  <c r="Q34" i="20"/>
  <c r="Q30" i="20"/>
  <c r="N35" i="20"/>
  <c r="J35" i="20"/>
  <c r="Q29" i="19"/>
  <c r="AE23" i="19"/>
  <c r="L35" i="19"/>
  <c r="J35" i="19"/>
  <c r="Q31" i="19"/>
  <c r="U23" i="19"/>
  <c r="V23" i="19"/>
  <c r="Q28" i="19"/>
  <c r="I35" i="19"/>
  <c r="M35" i="19"/>
  <c r="Q34" i="19"/>
  <c r="Q33" i="19"/>
  <c r="W23" i="19"/>
  <c r="N35" i="19"/>
  <c r="K35" i="19"/>
  <c r="O35" i="19"/>
  <c r="Q35" i="25" l="1"/>
  <c r="Q35" i="24"/>
  <c r="Q35" i="23"/>
  <c r="Q35" i="22"/>
  <c r="Q35" i="21"/>
  <c r="Q35" i="20"/>
  <c r="Q35" i="19"/>
  <c r="H20" i="14" l="1"/>
  <c r="H34" i="14" s="1"/>
  <c r="H19" i="14"/>
  <c r="H18" i="14"/>
  <c r="H17" i="14"/>
  <c r="H16" i="14"/>
  <c r="F20" i="14"/>
  <c r="F19" i="14"/>
  <c r="F18" i="14"/>
  <c r="F17" i="14"/>
  <c r="F16" i="14"/>
  <c r="Z21" i="17" l="1"/>
  <c r="Y21" i="17"/>
  <c r="X21" i="17"/>
  <c r="Z20" i="17"/>
  <c r="Y20" i="17"/>
  <c r="X20" i="17"/>
  <c r="Z19" i="17"/>
  <c r="Y19" i="17"/>
  <c r="X19" i="17"/>
  <c r="Z18" i="17"/>
  <c r="Y18" i="17"/>
  <c r="X18" i="17"/>
  <c r="Z17" i="17"/>
  <c r="Y17" i="17"/>
  <c r="X17" i="17"/>
  <c r="Z16" i="17"/>
  <c r="Y16" i="17"/>
  <c r="X16" i="17"/>
  <c r="X19" i="15"/>
  <c r="Y19" i="15"/>
  <c r="Z19" i="15"/>
  <c r="Z18" i="15"/>
  <c r="Y18" i="15"/>
  <c r="X18" i="15"/>
  <c r="Z17" i="15"/>
  <c r="Y17" i="15"/>
  <c r="X17" i="15"/>
  <c r="Z16" i="15"/>
  <c r="Y16" i="15"/>
  <c r="X16" i="15"/>
  <c r="G32" i="18" l="1"/>
  <c r="F32" i="18"/>
  <c r="G31" i="18"/>
  <c r="F31" i="18"/>
  <c r="G30" i="18"/>
  <c r="F30" i="18"/>
  <c r="G29" i="18"/>
  <c r="F29" i="18"/>
  <c r="P27" i="18"/>
  <c r="G27" i="18"/>
  <c r="G28" i="18" s="1"/>
  <c r="F27" i="18"/>
  <c r="F28" i="18" s="1"/>
  <c r="X25" i="18"/>
  <c r="H25" i="18"/>
  <c r="F25" i="18"/>
  <c r="R22" i="18"/>
  <c r="AD21" i="18"/>
  <c r="Q21" i="18"/>
  <c r="D21" i="18" s="1"/>
  <c r="V21" i="18" s="1"/>
  <c r="AD20" i="18"/>
  <c r="Q20" i="18"/>
  <c r="D20" i="18"/>
  <c r="V20" i="18" s="1"/>
  <c r="AD19" i="18"/>
  <c r="Q19" i="18"/>
  <c r="D19" i="18"/>
  <c r="O32" i="18" s="1"/>
  <c r="AD18" i="18"/>
  <c r="Q18" i="18"/>
  <c r="D18" i="18" s="1"/>
  <c r="AD17" i="18"/>
  <c r="Q17" i="18"/>
  <c r="D17" i="18" s="1"/>
  <c r="AD16" i="18"/>
  <c r="Q16" i="18"/>
  <c r="D16" i="18" s="1"/>
  <c r="H16" i="18"/>
  <c r="H29" i="18" s="1"/>
  <c r="G32" i="17"/>
  <c r="F32" i="17"/>
  <c r="O31" i="17"/>
  <c r="N31" i="17"/>
  <c r="I31" i="17"/>
  <c r="G31" i="17"/>
  <c r="F31" i="17"/>
  <c r="R22" i="17"/>
  <c r="AD21" i="17"/>
  <c r="Q21" i="17"/>
  <c r="D21" i="17" s="1"/>
  <c r="AD20" i="17"/>
  <c r="Q20" i="17"/>
  <c r="D20" i="17"/>
  <c r="W20" i="17" s="1"/>
  <c r="G30" i="17"/>
  <c r="F30" i="17"/>
  <c r="G29" i="17"/>
  <c r="F29" i="17"/>
  <c r="P27" i="17"/>
  <c r="G27" i="17"/>
  <c r="G28" i="17" s="1"/>
  <c r="F27" i="17"/>
  <c r="F28" i="17" s="1"/>
  <c r="X25" i="17"/>
  <c r="H25" i="17"/>
  <c r="F25" i="17"/>
  <c r="AD19" i="17"/>
  <c r="Q19" i="17"/>
  <c r="D19" i="17" s="1"/>
  <c r="O30" i="17" s="1"/>
  <c r="AD18" i="17"/>
  <c r="Q18" i="17"/>
  <c r="D18" i="17" s="1"/>
  <c r="N29" i="17" s="1"/>
  <c r="AD17" i="17"/>
  <c r="Q17" i="17"/>
  <c r="D17" i="17" s="1"/>
  <c r="O28" i="17" s="1"/>
  <c r="AD16" i="17"/>
  <c r="Q16" i="17"/>
  <c r="D16" i="17" s="1"/>
  <c r="H16" i="17"/>
  <c r="H29" i="17" s="1"/>
  <c r="G28" i="16"/>
  <c r="F28" i="16"/>
  <c r="H27" i="16"/>
  <c r="G27" i="16"/>
  <c r="F27" i="16"/>
  <c r="P25" i="16"/>
  <c r="G25" i="16"/>
  <c r="G26" i="16" s="1"/>
  <c r="F25" i="16"/>
  <c r="F26" i="16" s="1"/>
  <c r="X23" i="16"/>
  <c r="H23" i="16"/>
  <c r="F23" i="16"/>
  <c r="R20" i="16"/>
  <c r="AD19" i="16"/>
  <c r="Q19" i="16"/>
  <c r="D19" i="16"/>
  <c r="N28" i="16" s="1"/>
  <c r="AD18" i="16"/>
  <c r="Q18" i="16"/>
  <c r="D18" i="16"/>
  <c r="O27" i="16" s="1"/>
  <c r="AD17" i="16"/>
  <c r="Q17" i="16"/>
  <c r="D17" i="16"/>
  <c r="N26" i="16" s="1"/>
  <c r="AD16" i="16"/>
  <c r="Q16" i="16"/>
  <c r="D16" i="16" s="1"/>
  <c r="N25" i="16" s="1"/>
  <c r="H16" i="16"/>
  <c r="H25" i="16" s="1"/>
  <c r="H26" i="16" s="1"/>
  <c r="G28" i="15"/>
  <c r="F28" i="15"/>
  <c r="G27" i="15"/>
  <c r="F27" i="15"/>
  <c r="P25" i="15"/>
  <c r="G25" i="15"/>
  <c r="G26" i="15" s="1"/>
  <c r="F25" i="15"/>
  <c r="F26" i="15" s="1"/>
  <c r="X23" i="15"/>
  <c r="H23" i="15"/>
  <c r="F23" i="15"/>
  <c r="R20" i="15"/>
  <c r="AD19" i="15"/>
  <c r="Q19" i="15"/>
  <c r="D19" i="15" s="1"/>
  <c r="AD18" i="15"/>
  <c r="Q18" i="15"/>
  <c r="D18" i="15" s="1"/>
  <c r="AD17" i="15"/>
  <c r="Q17" i="15"/>
  <c r="D17" i="15" s="1"/>
  <c r="AD16" i="15"/>
  <c r="Q16" i="15"/>
  <c r="H16" i="15"/>
  <c r="H25" i="15" s="1"/>
  <c r="H26" i="15" s="1"/>
  <c r="D16" i="15"/>
  <c r="V16" i="15" s="1"/>
  <c r="AE18" i="18" l="1"/>
  <c r="N31" i="18"/>
  <c r="O31" i="18"/>
  <c r="U18" i="18"/>
  <c r="K31" i="18"/>
  <c r="I31" i="18"/>
  <c r="O29" i="18"/>
  <c r="M29" i="18"/>
  <c r="K29" i="18"/>
  <c r="I29" i="18"/>
  <c r="W18" i="18"/>
  <c r="O27" i="17"/>
  <c r="D22" i="17"/>
  <c r="O27" i="18"/>
  <c r="C16" i="18"/>
  <c r="A17" i="18" s="1"/>
  <c r="C17" i="18" s="1"/>
  <c r="A18" i="18" s="1"/>
  <c r="C18" i="18" s="1"/>
  <c r="A19" i="18" s="1"/>
  <c r="N27" i="18"/>
  <c r="J27" i="18"/>
  <c r="U16" i="18"/>
  <c r="O28" i="18"/>
  <c r="N28" i="18"/>
  <c r="J28" i="18"/>
  <c r="W17" i="18"/>
  <c r="W21" i="17"/>
  <c r="N32" i="17"/>
  <c r="AE17" i="18"/>
  <c r="H20" i="17"/>
  <c r="L32" i="17"/>
  <c r="J31" i="17"/>
  <c r="M32" i="17"/>
  <c r="K32" i="17"/>
  <c r="K31" i="17"/>
  <c r="Q31" i="17" s="1"/>
  <c r="O32" i="17"/>
  <c r="L31" i="17"/>
  <c r="M31" i="17"/>
  <c r="H21" i="17"/>
  <c r="H32" i="17" s="1"/>
  <c r="I32" i="17"/>
  <c r="J32" i="17"/>
  <c r="U21" i="18"/>
  <c r="N32" i="18"/>
  <c r="W21" i="18"/>
  <c r="AE21" i="18"/>
  <c r="U20" i="18"/>
  <c r="W20" i="18"/>
  <c r="AE20" i="18"/>
  <c r="M31" i="18"/>
  <c r="U19" i="18"/>
  <c r="L30" i="18"/>
  <c r="J32" i="18"/>
  <c r="C19" i="18"/>
  <c r="A20" i="18" s="1"/>
  <c r="C20" i="18" s="1"/>
  <c r="A21" i="18" s="1"/>
  <c r="C21" i="18" s="1"/>
  <c r="W19" i="18"/>
  <c r="AE19" i="18"/>
  <c r="J30" i="18"/>
  <c r="N30" i="18"/>
  <c r="L32" i="18"/>
  <c r="U17" i="18"/>
  <c r="L28" i="18"/>
  <c r="W16" i="18"/>
  <c r="W22" i="18" s="1"/>
  <c r="AE16" i="18"/>
  <c r="L27" i="18"/>
  <c r="H17" i="18"/>
  <c r="H18" i="18"/>
  <c r="H31" i="18" s="1"/>
  <c r="H19" i="18"/>
  <c r="H30" i="18" s="1"/>
  <c r="H20" i="18"/>
  <c r="H21" i="18"/>
  <c r="H32" i="18" s="1"/>
  <c r="H27" i="18"/>
  <c r="H28" i="18" s="1"/>
  <c r="V16" i="18"/>
  <c r="V17" i="18"/>
  <c r="V18" i="18"/>
  <c r="V19" i="18"/>
  <c r="D22" i="18"/>
  <c r="I27" i="18"/>
  <c r="K27" i="18"/>
  <c r="M27" i="18"/>
  <c r="I28" i="18"/>
  <c r="K28" i="18"/>
  <c r="M28" i="18"/>
  <c r="J29" i="18"/>
  <c r="L29" i="18"/>
  <c r="N29" i="18"/>
  <c r="I30" i="18"/>
  <c r="K30" i="18"/>
  <c r="M30" i="18"/>
  <c r="O30" i="18"/>
  <c r="O33" i="18" s="1"/>
  <c r="J31" i="18"/>
  <c r="L31" i="18"/>
  <c r="I32" i="18"/>
  <c r="K32" i="18"/>
  <c r="M32" i="18"/>
  <c r="AE20" i="17"/>
  <c r="AE21" i="17"/>
  <c r="V21" i="17"/>
  <c r="U21" i="17"/>
  <c r="W19" i="17"/>
  <c r="AE19" i="17"/>
  <c r="J30" i="17"/>
  <c r="V20" i="17"/>
  <c r="N30" i="17"/>
  <c r="U20" i="17"/>
  <c r="W18" i="17"/>
  <c r="AE18" i="17"/>
  <c r="M29" i="17"/>
  <c r="I29" i="17"/>
  <c r="W17" i="17"/>
  <c r="AE17" i="17"/>
  <c r="L28" i="17"/>
  <c r="W16" i="17"/>
  <c r="AE16" i="17"/>
  <c r="L27" i="17"/>
  <c r="C16" i="17"/>
  <c r="A17" i="17" s="1"/>
  <c r="C17" i="17" s="1"/>
  <c r="A18" i="17" s="1"/>
  <c r="C18" i="17" s="1"/>
  <c r="A19" i="17" s="1"/>
  <c r="C19" i="17" s="1"/>
  <c r="A20" i="17" s="1"/>
  <c r="C20" i="17" s="1"/>
  <c r="A21" i="17" s="1"/>
  <c r="C21" i="17" s="1"/>
  <c r="U16" i="17"/>
  <c r="U17" i="17"/>
  <c r="U18" i="17"/>
  <c r="U19" i="17"/>
  <c r="J27" i="17"/>
  <c r="N27" i="17"/>
  <c r="J28" i="17"/>
  <c r="N28" i="17"/>
  <c r="K29" i="17"/>
  <c r="O29" i="17"/>
  <c r="O33" i="17" s="1"/>
  <c r="L30" i="17"/>
  <c r="H17" i="17"/>
  <c r="H18" i="17"/>
  <c r="H31" i="17" s="1"/>
  <c r="H19" i="17"/>
  <c r="H30" i="17" s="1"/>
  <c r="H27" i="17"/>
  <c r="H28" i="17" s="1"/>
  <c r="V16" i="17"/>
  <c r="V17" i="17"/>
  <c r="V18" i="17"/>
  <c r="V19" i="17"/>
  <c r="I27" i="17"/>
  <c r="K27" i="17"/>
  <c r="K33" i="17" s="1"/>
  <c r="M27" i="17"/>
  <c r="I28" i="17"/>
  <c r="K28" i="17"/>
  <c r="M28" i="17"/>
  <c r="J29" i="17"/>
  <c r="L29" i="17"/>
  <c r="I30" i="17"/>
  <c r="K30" i="17"/>
  <c r="M30" i="17"/>
  <c r="AE19" i="16"/>
  <c r="AE18" i="16"/>
  <c r="AE17" i="16"/>
  <c r="AE16" i="16"/>
  <c r="AE20" i="16"/>
  <c r="V16" i="16"/>
  <c r="V17" i="16"/>
  <c r="V18" i="16"/>
  <c r="V19" i="16"/>
  <c r="D20" i="16"/>
  <c r="I25" i="16"/>
  <c r="K25" i="16"/>
  <c r="M25" i="16"/>
  <c r="O25" i="16"/>
  <c r="I26" i="16"/>
  <c r="K26" i="16"/>
  <c r="M26" i="16"/>
  <c r="O26" i="16"/>
  <c r="J27" i="16"/>
  <c r="L27" i="16"/>
  <c r="N27" i="16"/>
  <c r="N29" i="16" s="1"/>
  <c r="I28" i="16"/>
  <c r="K28" i="16"/>
  <c r="M28" i="16"/>
  <c r="O28" i="16"/>
  <c r="C16" i="16"/>
  <c r="A17" i="16" s="1"/>
  <c r="C17" i="16" s="1"/>
  <c r="A18" i="16" s="1"/>
  <c r="C18" i="16" s="1"/>
  <c r="A19" i="16" s="1"/>
  <c r="C19" i="16" s="1"/>
  <c r="U16" i="16"/>
  <c r="W16" i="16"/>
  <c r="H17" i="16"/>
  <c r="U17" i="16"/>
  <c r="W17" i="16"/>
  <c r="H18" i="16"/>
  <c r="U18" i="16"/>
  <c r="W18" i="16"/>
  <c r="H19" i="16"/>
  <c r="H28" i="16" s="1"/>
  <c r="U19" i="16"/>
  <c r="W19" i="16"/>
  <c r="J25" i="16"/>
  <c r="L25" i="16"/>
  <c r="J26" i="16"/>
  <c r="L26" i="16"/>
  <c r="I27" i="16"/>
  <c r="K27" i="16"/>
  <c r="M27" i="16"/>
  <c r="J28" i="16"/>
  <c r="L28" i="16"/>
  <c r="H27" i="15"/>
  <c r="N28" i="15"/>
  <c r="L28" i="15"/>
  <c r="J28" i="15"/>
  <c r="W19" i="15"/>
  <c r="U19" i="15"/>
  <c r="O28" i="15"/>
  <c r="M28" i="15"/>
  <c r="K28" i="15"/>
  <c r="I28" i="15"/>
  <c r="V19" i="15"/>
  <c r="N26" i="15"/>
  <c r="L26" i="15"/>
  <c r="J26" i="15"/>
  <c r="W17" i="15"/>
  <c r="U17" i="15"/>
  <c r="O26" i="15"/>
  <c r="M26" i="15"/>
  <c r="K26" i="15"/>
  <c r="I26" i="15"/>
  <c r="V17" i="15"/>
  <c r="AE17" i="15"/>
  <c r="O27" i="15"/>
  <c r="M27" i="15"/>
  <c r="K27" i="15"/>
  <c r="I27" i="15"/>
  <c r="W18" i="15"/>
  <c r="U18" i="15"/>
  <c r="N27" i="15"/>
  <c r="L27" i="15"/>
  <c r="J27" i="15"/>
  <c r="V18" i="15"/>
  <c r="AE19" i="15"/>
  <c r="N25" i="15"/>
  <c r="L25" i="15"/>
  <c r="J25" i="15"/>
  <c r="W16" i="15"/>
  <c r="U16" i="15"/>
  <c r="C16" i="15"/>
  <c r="A17" i="15" s="1"/>
  <c r="C17" i="15" s="1"/>
  <c r="A18" i="15" s="1"/>
  <c r="C18" i="15" s="1"/>
  <c r="A19" i="15" s="1"/>
  <c r="C19" i="15" s="1"/>
  <c r="O25" i="15"/>
  <c r="M25" i="15"/>
  <c r="M29" i="15" s="1"/>
  <c r="K25" i="15"/>
  <c r="I25" i="15"/>
  <c r="D20" i="15"/>
  <c r="AE16" i="15"/>
  <c r="AE18" i="15"/>
  <c r="H17" i="15"/>
  <c r="H18" i="15"/>
  <c r="H19" i="15"/>
  <c r="H28" i="15" s="1"/>
  <c r="K29" i="15" l="1"/>
  <c r="W20" i="16"/>
  <c r="M33" i="17"/>
  <c r="W22" i="17"/>
  <c r="AE22" i="18"/>
  <c r="N33" i="17"/>
  <c r="N33" i="18"/>
  <c r="U22" i="18"/>
  <c r="O29" i="15"/>
  <c r="Q29" i="18"/>
  <c r="U20" i="15"/>
  <c r="Q32" i="17"/>
  <c r="Q31" i="18"/>
  <c r="L33" i="18"/>
  <c r="M33" i="18"/>
  <c r="I33" i="18"/>
  <c r="Q27" i="18"/>
  <c r="J33" i="18"/>
  <c r="Q32" i="18"/>
  <c r="Q30" i="18"/>
  <c r="Q28" i="18"/>
  <c r="K33" i="18"/>
  <c r="V22" i="18"/>
  <c r="L33" i="17"/>
  <c r="J33" i="17"/>
  <c r="AE22" i="17"/>
  <c r="U22" i="17"/>
  <c r="Q30" i="17"/>
  <c r="I33" i="17"/>
  <c r="Q27" i="17"/>
  <c r="Q29" i="17"/>
  <c r="Q28" i="17"/>
  <c r="V22" i="17"/>
  <c r="L29" i="16"/>
  <c r="U20" i="16"/>
  <c r="Q26" i="16"/>
  <c r="M29" i="16"/>
  <c r="I29" i="16"/>
  <c r="Q25" i="16"/>
  <c r="Q27" i="16"/>
  <c r="J29" i="16"/>
  <c r="Q28" i="16"/>
  <c r="O29" i="16"/>
  <c r="K29" i="16"/>
  <c r="V20" i="16"/>
  <c r="V20" i="15"/>
  <c r="AE20" i="15"/>
  <c r="W20" i="15"/>
  <c r="L29" i="15"/>
  <c r="Q27" i="15"/>
  <c r="I29" i="15"/>
  <c r="Q25" i="15"/>
  <c r="J29" i="15"/>
  <c r="N29" i="15"/>
  <c r="Q26" i="15"/>
  <c r="Q28" i="15"/>
  <c r="Q33" i="17" l="1"/>
  <c r="Q33" i="18"/>
  <c r="Q29" i="16"/>
  <c r="Q29" i="15"/>
  <c r="Q17" i="14"/>
  <c r="Q16" i="14"/>
  <c r="G31" i="14" l="1"/>
  <c r="G32" i="14" s="1"/>
  <c r="F31" i="14"/>
  <c r="F32" i="14" s="1"/>
  <c r="G30" i="14"/>
  <c r="F30" i="14"/>
  <c r="P28" i="14"/>
  <c r="G28" i="14"/>
  <c r="G29" i="14" s="1"/>
  <c r="F28" i="14"/>
  <c r="F29" i="14" s="1"/>
  <c r="H26" i="14"/>
  <c r="F26" i="14"/>
  <c r="AD20" i="14"/>
  <c r="Q20" i="14"/>
  <c r="D20" i="14" s="1"/>
  <c r="AD19" i="14"/>
  <c r="Q19" i="14"/>
  <c r="D19" i="14" s="1"/>
  <c r="AD18" i="14"/>
  <c r="Q18" i="14"/>
  <c r="D18" i="14" s="1"/>
  <c r="AD17" i="14"/>
  <c r="D17" i="14"/>
  <c r="AD16" i="14"/>
  <c r="D16" i="14"/>
  <c r="H28" i="14"/>
  <c r="H29" i="14" s="1"/>
  <c r="D23" i="14" l="1"/>
  <c r="H30" i="14"/>
  <c r="O30" i="14"/>
  <c r="M30" i="14"/>
  <c r="K30" i="14"/>
  <c r="I30" i="14"/>
  <c r="W18" i="14"/>
  <c r="U18" i="14"/>
  <c r="L30" i="14"/>
  <c r="V18" i="14"/>
  <c r="N30" i="14"/>
  <c r="J30" i="14"/>
  <c r="O32" i="14"/>
  <c r="M32" i="14"/>
  <c r="K32" i="14"/>
  <c r="I32" i="14"/>
  <c r="W20" i="14"/>
  <c r="U20" i="14"/>
  <c r="L32" i="14"/>
  <c r="V20" i="14"/>
  <c r="N32" i="14"/>
  <c r="J32" i="14"/>
  <c r="N28" i="14"/>
  <c r="L28" i="14"/>
  <c r="J28" i="14"/>
  <c r="W16" i="14"/>
  <c r="U16" i="14"/>
  <c r="C16" i="14"/>
  <c r="A17" i="14" s="1"/>
  <c r="C17" i="14" s="1"/>
  <c r="A18" i="14" s="1"/>
  <c r="C18" i="14" s="1"/>
  <c r="A19" i="14" s="1"/>
  <c r="C19" i="14" s="1"/>
  <c r="A20" i="14" s="1"/>
  <c r="C20" i="14" s="1"/>
  <c r="A21" i="14" s="1"/>
  <c r="C21" i="14" s="1"/>
  <c r="A22" i="14" s="1"/>
  <c r="C22" i="14" s="1"/>
  <c r="AE16" i="14"/>
  <c r="N29" i="14"/>
  <c r="L29" i="14"/>
  <c r="J29" i="14"/>
  <c r="W17" i="14"/>
  <c r="U17" i="14"/>
  <c r="V17" i="14"/>
  <c r="AE18" i="14"/>
  <c r="N31" i="14"/>
  <c r="L31" i="14"/>
  <c r="J31" i="14"/>
  <c r="W19" i="14"/>
  <c r="U19" i="14"/>
  <c r="V19" i="14"/>
  <c r="AE20" i="14"/>
  <c r="I28" i="14"/>
  <c r="M28" i="14"/>
  <c r="K29" i="14"/>
  <c r="O29" i="14"/>
  <c r="I31" i="14"/>
  <c r="M31" i="14"/>
  <c r="V16" i="14"/>
  <c r="AE17" i="14"/>
  <c r="AE19" i="14"/>
  <c r="K28" i="14"/>
  <c r="O28" i="14"/>
  <c r="I29" i="14"/>
  <c r="M29" i="14"/>
  <c r="K31" i="14"/>
  <c r="O31" i="14"/>
  <c r="O35" i="14" l="1"/>
  <c r="I35" i="14"/>
  <c r="L35" i="14"/>
  <c r="K35" i="14"/>
  <c r="M35" i="14"/>
  <c r="J35" i="14"/>
  <c r="N35" i="14"/>
  <c r="Q29" i="14"/>
  <c r="H32" i="14"/>
  <c r="Q31" i="14"/>
  <c r="Q28" i="14"/>
  <c r="W23" i="14"/>
  <c r="Q32" i="14"/>
  <c r="Q30" i="14"/>
  <c r="H31" i="14"/>
  <c r="V23" i="14"/>
  <c r="AE23" i="14"/>
  <c r="U23" i="14"/>
  <c r="Q35" i="14" l="1"/>
  <c r="C16" i="10" l="1"/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2" i="10"/>
  <c r="D16" i="10" l="1"/>
  <c r="G3" i="10"/>
  <c r="G4" i="10"/>
  <c r="G5" i="10"/>
  <c r="G6" i="10"/>
  <c r="G7" i="10"/>
  <c r="G8" i="10"/>
  <c r="G2" i="10"/>
  <c r="G10" i="10"/>
  <c r="G11" i="10"/>
  <c r="G12" i="10"/>
  <c r="G13" i="10"/>
  <c r="G14" i="10"/>
  <c r="G15" i="10"/>
  <c r="G9" i="10"/>
  <c r="T23" i="8" l="1"/>
  <c r="R34" i="8"/>
  <c r="Q34" i="8"/>
  <c r="P34" i="8"/>
  <c r="R33" i="8"/>
  <c r="R35" i="8" s="1"/>
  <c r="Q33" i="8"/>
  <c r="Q35" i="8" s="1"/>
  <c r="P33" i="8"/>
  <c r="P35" i="8" s="1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O27" i="8"/>
  <c r="N27" i="8"/>
  <c r="M27" i="8"/>
  <c r="L27" i="8"/>
  <c r="J27" i="8"/>
  <c r="O26" i="8"/>
  <c r="N26" i="8"/>
  <c r="M26" i="8"/>
  <c r="L26" i="8"/>
  <c r="K26" i="8"/>
  <c r="J26" i="8"/>
  <c r="I26" i="8"/>
  <c r="H26" i="8"/>
  <c r="F26" i="8"/>
  <c r="C12" i="8"/>
  <c r="AF22" i="8"/>
  <c r="S22" i="8"/>
  <c r="D22" i="8" s="1"/>
  <c r="Y22" i="8" s="1"/>
  <c r="AE21" i="8"/>
  <c r="V21" i="8"/>
  <c r="V20" i="8" s="1"/>
  <c r="V19" i="8" s="1"/>
  <c r="V18" i="8" s="1"/>
  <c r="V17" i="8" s="1"/>
  <c r="V16" i="8" s="1"/>
  <c r="U21" i="8"/>
  <c r="U20" i="8" s="1"/>
  <c r="S21" i="8"/>
  <c r="D21" i="8" s="1"/>
  <c r="AF20" i="8"/>
  <c r="S20" i="8"/>
  <c r="D20" i="8" s="1"/>
  <c r="Y20" i="8" s="1"/>
  <c r="AF19" i="8"/>
  <c r="S19" i="8"/>
  <c r="D19" i="8"/>
  <c r="Y19" i="8" s="1"/>
  <c r="AE18" i="8"/>
  <c r="S18" i="8"/>
  <c r="D18" i="8" s="1"/>
  <c r="Y18" i="8" s="1"/>
  <c r="AF17" i="8"/>
  <c r="AD17" i="8"/>
  <c r="AD18" i="8" s="1"/>
  <c r="AD19" i="8" s="1"/>
  <c r="AD20" i="8" s="1"/>
  <c r="AD21" i="8" s="1"/>
  <c r="AD22" i="8" s="1"/>
  <c r="S17" i="8"/>
  <c r="D17" i="8" s="1"/>
  <c r="Y17" i="8" s="1"/>
  <c r="G17" i="8"/>
  <c r="G18" i="8" s="1"/>
  <c r="G19" i="8" s="1"/>
  <c r="AE16" i="8"/>
  <c r="S16" i="8"/>
  <c r="D16" i="8" s="1"/>
  <c r="Y16" i="8" s="1"/>
  <c r="H16" i="8"/>
  <c r="H17" i="8" s="1"/>
  <c r="H18" i="8" s="1"/>
  <c r="F16" i="8"/>
  <c r="F17" i="8" s="1"/>
  <c r="F18" i="8" s="1"/>
  <c r="O12" i="8"/>
  <c r="L33" i="8" l="1"/>
  <c r="Y21" i="8"/>
  <c r="X16" i="8"/>
  <c r="N29" i="8"/>
  <c r="J29" i="8"/>
  <c r="M29" i="8"/>
  <c r="I29" i="8"/>
  <c r="O29" i="8"/>
  <c r="L29" i="8"/>
  <c r="K29" i="8"/>
  <c r="L30" i="8"/>
  <c r="O30" i="8"/>
  <c r="K30" i="8"/>
  <c r="M30" i="8"/>
  <c r="X18" i="8"/>
  <c r="J30" i="8"/>
  <c r="I30" i="8"/>
  <c r="N30" i="8"/>
  <c r="L32" i="8"/>
  <c r="O32" i="8"/>
  <c r="K32" i="8"/>
  <c r="J32" i="8"/>
  <c r="X20" i="8"/>
  <c r="I32" i="8"/>
  <c r="N32" i="8"/>
  <c r="M32" i="8"/>
  <c r="L34" i="8"/>
  <c r="O34" i="8"/>
  <c r="K34" i="8"/>
  <c r="X22" i="8"/>
  <c r="I34" i="8"/>
  <c r="N34" i="8"/>
  <c r="M34" i="8"/>
  <c r="J34" i="8"/>
  <c r="W22" i="8"/>
  <c r="F19" i="8"/>
  <c r="F30" i="8"/>
  <c r="F31" i="8" s="1"/>
  <c r="N31" i="8"/>
  <c r="J31" i="8"/>
  <c r="M31" i="8"/>
  <c r="I31" i="8"/>
  <c r="X19" i="8"/>
  <c r="L28" i="8"/>
  <c r="O28" i="8"/>
  <c r="K28" i="8"/>
  <c r="N33" i="8"/>
  <c r="J33" i="8"/>
  <c r="M33" i="8"/>
  <c r="I33" i="8"/>
  <c r="D23" i="8"/>
  <c r="I28" i="8"/>
  <c r="O31" i="8"/>
  <c r="G28" i="8"/>
  <c r="G20" i="8"/>
  <c r="G21" i="8" s="1"/>
  <c r="X17" i="8"/>
  <c r="AF18" i="8"/>
  <c r="AG18" i="8" s="1"/>
  <c r="AH18" i="8" s="1"/>
  <c r="W20" i="8"/>
  <c r="AG20" i="8"/>
  <c r="AH20" i="8" s="1"/>
  <c r="AI20" i="8" s="1"/>
  <c r="X21" i="8"/>
  <c r="J28" i="8"/>
  <c r="O33" i="8"/>
  <c r="H30" i="8"/>
  <c r="H31" i="8" s="1"/>
  <c r="H19" i="8"/>
  <c r="M28" i="8"/>
  <c r="K31" i="8"/>
  <c r="C16" i="8"/>
  <c r="A17" i="8" s="1"/>
  <c r="C17" i="8" s="1"/>
  <c r="A18" i="8" s="1"/>
  <c r="C18" i="8" s="1"/>
  <c r="A19" i="8" s="1"/>
  <c r="C19" i="8" s="1"/>
  <c r="A20" i="8" s="1"/>
  <c r="C20" i="8" s="1"/>
  <c r="A21" i="8" s="1"/>
  <c r="C21" i="8" s="1"/>
  <c r="A22" i="8" s="1"/>
  <c r="C22" i="8" s="1"/>
  <c r="AF16" i="8"/>
  <c r="AG16" i="8" s="1"/>
  <c r="AH16" i="8" s="1"/>
  <c r="AG17" i="8"/>
  <c r="AH17" i="8" s="1"/>
  <c r="AI17" i="8" s="1"/>
  <c r="U19" i="8"/>
  <c r="AG19" i="8"/>
  <c r="AH19" i="8" s="1"/>
  <c r="AI19" i="8" s="1"/>
  <c r="W21" i="8"/>
  <c r="AF21" i="8"/>
  <c r="AG21" i="8" s="1"/>
  <c r="AH21" i="8" s="1"/>
  <c r="AG22" i="8"/>
  <c r="AH22" i="8" s="1"/>
  <c r="AI22" i="8" s="1"/>
  <c r="N28" i="8"/>
  <c r="L31" i="8"/>
  <c r="K33" i="8"/>
  <c r="AD17" i="7"/>
  <c r="AD18" i="7" s="1"/>
  <c r="AD19" i="7" s="1"/>
  <c r="AD20" i="7" s="1"/>
  <c r="AD21" i="7" s="1"/>
  <c r="AD22" i="7" s="1"/>
  <c r="R34" i="7"/>
  <c r="Q34" i="7"/>
  <c r="P34" i="7"/>
  <c r="R33" i="7"/>
  <c r="R35" i="7" s="1"/>
  <c r="Q33" i="7"/>
  <c r="Q35" i="7" s="1"/>
  <c r="P33" i="7"/>
  <c r="P35" i="7" s="1"/>
  <c r="R32" i="7"/>
  <c r="Q32" i="7"/>
  <c r="P32" i="7"/>
  <c r="R31" i="7"/>
  <c r="Q31" i="7"/>
  <c r="P31" i="7"/>
  <c r="R30" i="7"/>
  <c r="Q30" i="7"/>
  <c r="P30" i="7"/>
  <c r="R29" i="7"/>
  <c r="Q29" i="7"/>
  <c r="P29" i="7"/>
  <c r="R28" i="7"/>
  <c r="Q28" i="7"/>
  <c r="P28" i="7"/>
  <c r="R27" i="7"/>
  <c r="Q27" i="7"/>
  <c r="P27" i="7"/>
  <c r="O27" i="7"/>
  <c r="N27" i="7"/>
  <c r="M27" i="7"/>
  <c r="L27" i="7"/>
  <c r="J27" i="7"/>
  <c r="O26" i="7"/>
  <c r="N26" i="7"/>
  <c r="M26" i="7"/>
  <c r="L26" i="7"/>
  <c r="K26" i="7"/>
  <c r="J26" i="7"/>
  <c r="I26" i="7"/>
  <c r="H26" i="7"/>
  <c r="F26" i="7"/>
  <c r="T23" i="7"/>
  <c r="C12" i="7" s="1"/>
  <c r="AF22" i="7"/>
  <c r="S22" i="7"/>
  <c r="D22" i="7" s="1"/>
  <c r="AE21" i="7"/>
  <c r="V21" i="7"/>
  <c r="V20" i="7" s="1"/>
  <c r="V19" i="7" s="1"/>
  <c r="U21" i="7"/>
  <c r="S21" i="7"/>
  <c r="D21" i="7" s="1"/>
  <c r="Y21" i="7" s="1"/>
  <c r="AF20" i="7"/>
  <c r="S20" i="7"/>
  <c r="D20" i="7" s="1"/>
  <c r="Y20" i="7" s="1"/>
  <c r="AF19" i="7"/>
  <c r="S19" i="7"/>
  <c r="D19" i="7" s="1"/>
  <c r="AE18" i="7"/>
  <c r="S18" i="7"/>
  <c r="D18" i="7"/>
  <c r="AF17" i="7"/>
  <c r="S17" i="7"/>
  <c r="D17" i="7" s="1"/>
  <c r="Y17" i="7" s="1"/>
  <c r="G17" i="7"/>
  <c r="G18" i="7" s="1"/>
  <c r="G19" i="7" s="1"/>
  <c r="AE16" i="7"/>
  <c r="S16" i="7"/>
  <c r="D16" i="7" s="1"/>
  <c r="H16" i="7"/>
  <c r="H17" i="7" s="1"/>
  <c r="H18" i="7" s="1"/>
  <c r="H30" i="7" s="1"/>
  <c r="H31" i="7" s="1"/>
  <c r="F16" i="7"/>
  <c r="F17" i="7" s="1"/>
  <c r="F18" i="7" s="1"/>
  <c r="S12" i="7"/>
  <c r="R34" i="6"/>
  <c r="Q34" i="6"/>
  <c r="P34" i="6"/>
  <c r="R33" i="6"/>
  <c r="R35" i="6" s="1"/>
  <c r="Q33" i="6"/>
  <c r="Q35" i="6" s="1"/>
  <c r="P33" i="6"/>
  <c r="P35" i="6" s="1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O27" i="6"/>
  <c r="N27" i="6"/>
  <c r="M27" i="6"/>
  <c r="L27" i="6"/>
  <c r="J27" i="6"/>
  <c r="O26" i="6"/>
  <c r="N26" i="6"/>
  <c r="M26" i="6"/>
  <c r="L26" i="6"/>
  <c r="K26" i="6"/>
  <c r="J26" i="6"/>
  <c r="I26" i="6"/>
  <c r="H26" i="6"/>
  <c r="F26" i="6"/>
  <c r="T23" i="6"/>
  <c r="C12" i="6" s="1"/>
  <c r="AF22" i="6"/>
  <c r="S22" i="6"/>
  <c r="D22" i="6" s="1"/>
  <c r="M34" i="6" s="1"/>
  <c r="AE21" i="6"/>
  <c r="V21" i="6"/>
  <c r="U21" i="6"/>
  <c r="U20" i="6" s="1"/>
  <c r="S21" i="6"/>
  <c r="D21" i="6" s="1"/>
  <c r="AF20" i="6"/>
  <c r="S20" i="6"/>
  <c r="D20" i="6" s="1"/>
  <c r="M32" i="6" s="1"/>
  <c r="AF19" i="6"/>
  <c r="S19" i="6"/>
  <c r="D19" i="6" s="1"/>
  <c r="O31" i="6" s="1"/>
  <c r="AE18" i="6"/>
  <c r="S18" i="6"/>
  <c r="D18" i="6" s="1"/>
  <c r="M30" i="6" s="1"/>
  <c r="AF17" i="6"/>
  <c r="S17" i="6"/>
  <c r="G17" i="6"/>
  <c r="G18" i="6" s="1"/>
  <c r="G19" i="6" s="1"/>
  <c r="D17" i="6"/>
  <c r="O29" i="6" s="1"/>
  <c r="AE16" i="6"/>
  <c r="S16" i="6"/>
  <c r="D16" i="6" s="1"/>
  <c r="H16" i="6"/>
  <c r="H17" i="6" s="1"/>
  <c r="H18" i="6" s="1"/>
  <c r="F16" i="6"/>
  <c r="F17" i="6" s="1"/>
  <c r="F18" i="6" s="1"/>
  <c r="S12" i="6"/>
  <c r="T23" i="5"/>
  <c r="C12" i="5" s="1"/>
  <c r="L26" i="5"/>
  <c r="J27" i="5"/>
  <c r="F16" i="5"/>
  <c r="F17" i="5" s="1"/>
  <c r="F18" i="5" s="1"/>
  <c r="R34" i="5"/>
  <c r="Q34" i="5"/>
  <c r="P34" i="5"/>
  <c r="R33" i="5"/>
  <c r="R35" i="5" s="1"/>
  <c r="Q33" i="5"/>
  <c r="Q35" i="5" s="1"/>
  <c r="P33" i="5"/>
  <c r="P35" i="5" s="1"/>
  <c r="R32" i="5"/>
  <c r="Q32" i="5"/>
  <c r="P32" i="5"/>
  <c r="R31" i="5"/>
  <c r="Q31" i="5"/>
  <c r="P31" i="5"/>
  <c r="R30" i="5"/>
  <c r="Q30" i="5"/>
  <c r="P30" i="5"/>
  <c r="R29" i="5"/>
  <c r="Q29" i="5"/>
  <c r="P29" i="5"/>
  <c r="R28" i="5"/>
  <c r="Q28" i="5"/>
  <c r="P28" i="5"/>
  <c r="R27" i="5"/>
  <c r="Q27" i="5"/>
  <c r="P27" i="5"/>
  <c r="O27" i="5"/>
  <c r="N27" i="5"/>
  <c r="M27" i="5"/>
  <c r="L27" i="5"/>
  <c r="O26" i="5"/>
  <c r="N26" i="5"/>
  <c r="M26" i="5"/>
  <c r="K26" i="5"/>
  <c r="J26" i="5"/>
  <c r="I26" i="5"/>
  <c r="H26" i="5"/>
  <c r="F26" i="5"/>
  <c r="AF22" i="5"/>
  <c r="S22" i="5"/>
  <c r="D22" i="5" s="1"/>
  <c r="AE21" i="5"/>
  <c r="V21" i="5"/>
  <c r="U21" i="5"/>
  <c r="U20" i="5" s="1"/>
  <c r="S21" i="5"/>
  <c r="D21" i="5" s="1"/>
  <c r="AF20" i="5"/>
  <c r="S20" i="5"/>
  <c r="D20" i="5" s="1"/>
  <c r="AF19" i="5"/>
  <c r="S19" i="5"/>
  <c r="D19" i="5" s="1"/>
  <c r="AE18" i="5"/>
  <c r="S18" i="5"/>
  <c r="D18" i="5" s="1"/>
  <c r="O30" i="5" s="1"/>
  <c r="AF17" i="5"/>
  <c r="S17" i="5"/>
  <c r="D17" i="5" s="1"/>
  <c r="M29" i="5" s="1"/>
  <c r="G17" i="5"/>
  <c r="G18" i="5" s="1"/>
  <c r="G19" i="5" s="1"/>
  <c r="AE16" i="5"/>
  <c r="S16" i="5"/>
  <c r="D16" i="5" s="1"/>
  <c r="H16" i="5"/>
  <c r="H17" i="5" s="1"/>
  <c r="H18" i="5" s="1"/>
  <c r="S12" i="5"/>
  <c r="D23" i="6" l="1"/>
  <c r="O33" i="6"/>
  <c r="N33" i="6"/>
  <c r="L33" i="6"/>
  <c r="L33" i="5"/>
  <c r="M33" i="5"/>
  <c r="O34" i="5"/>
  <c r="M34" i="5"/>
  <c r="W21" i="5"/>
  <c r="X21" i="6"/>
  <c r="N30" i="7"/>
  <c r="Y18" i="7"/>
  <c r="L31" i="7"/>
  <c r="Y19" i="7"/>
  <c r="N34" i="7"/>
  <c r="Y22" i="7"/>
  <c r="V20" i="6"/>
  <c r="V19" i="6" s="1"/>
  <c r="X19" i="6" s="1"/>
  <c r="O28" i="7"/>
  <c r="Y16" i="7"/>
  <c r="J35" i="8"/>
  <c r="S29" i="8"/>
  <c r="X23" i="8"/>
  <c r="W19" i="8"/>
  <c r="U18" i="8"/>
  <c r="G22" i="8"/>
  <c r="G33" i="8"/>
  <c r="G34" i="8" s="1"/>
  <c r="G30" i="8" s="1"/>
  <c r="G31" i="8" s="1"/>
  <c r="M35" i="8"/>
  <c r="G32" i="8"/>
  <c r="G29" i="8"/>
  <c r="S33" i="8"/>
  <c r="K35" i="8"/>
  <c r="S31" i="8"/>
  <c r="O35" i="8"/>
  <c r="F28" i="8"/>
  <c r="F20" i="8"/>
  <c r="F21" i="8" s="1"/>
  <c r="S30" i="8"/>
  <c r="N35" i="8"/>
  <c r="H28" i="8"/>
  <c r="H20" i="8"/>
  <c r="H21" i="8" s="1"/>
  <c r="I35" i="8"/>
  <c r="S28" i="8"/>
  <c r="L35" i="8"/>
  <c r="S34" i="8"/>
  <c r="S32" i="8"/>
  <c r="M31" i="7"/>
  <c r="AG22" i="7"/>
  <c r="AH22" i="7" s="1"/>
  <c r="AI22" i="7" s="1"/>
  <c r="K34" i="7"/>
  <c r="L34" i="7"/>
  <c r="W22" i="7"/>
  <c r="M34" i="7"/>
  <c r="X22" i="7"/>
  <c r="I34" i="7"/>
  <c r="O34" i="7"/>
  <c r="AG19" i="7"/>
  <c r="AH19" i="7" s="1"/>
  <c r="AI19" i="7" s="1"/>
  <c r="N31" i="7"/>
  <c r="I31" i="7"/>
  <c r="X19" i="7"/>
  <c r="J31" i="7"/>
  <c r="L30" i="7"/>
  <c r="M30" i="7"/>
  <c r="I30" i="7"/>
  <c r="O30" i="7"/>
  <c r="K30" i="7"/>
  <c r="C16" i="7"/>
  <c r="A17" i="7" s="1"/>
  <c r="C17" i="7" s="1"/>
  <c r="A18" i="7" s="1"/>
  <c r="C18" i="7" s="1"/>
  <c r="A19" i="7" s="1"/>
  <c r="C19" i="7" s="1"/>
  <c r="A20" i="7" s="1"/>
  <c r="C20" i="7" s="1"/>
  <c r="A21" i="7" s="1"/>
  <c r="C21" i="7" s="1"/>
  <c r="A22" i="7" s="1"/>
  <c r="C22" i="7" s="1"/>
  <c r="AF16" i="7"/>
  <c r="AG16" i="7" s="1"/>
  <c r="AH16" i="7" s="1"/>
  <c r="K28" i="7"/>
  <c r="F30" i="7"/>
  <c r="F31" i="7" s="1"/>
  <c r="F19" i="7"/>
  <c r="L29" i="7"/>
  <c r="O29" i="7"/>
  <c r="K29" i="7"/>
  <c r="N29" i="7"/>
  <c r="M29" i="7"/>
  <c r="J29" i="7"/>
  <c r="I29" i="7"/>
  <c r="N32" i="7"/>
  <c r="J32" i="7"/>
  <c r="M32" i="7"/>
  <c r="I32" i="7"/>
  <c r="O32" i="7"/>
  <c r="L32" i="7"/>
  <c r="K32" i="7"/>
  <c r="X20" i="7"/>
  <c r="L33" i="7"/>
  <c r="O33" i="7"/>
  <c r="K33" i="7"/>
  <c r="N33" i="7"/>
  <c r="J33" i="7"/>
  <c r="I33" i="7"/>
  <c r="X21" i="7"/>
  <c r="M33" i="7"/>
  <c r="G20" i="7"/>
  <c r="G21" i="7" s="1"/>
  <c r="G28" i="7"/>
  <c r="H19" i="7"/>
  <c r="N28" i="7"/>
  <c r="J28" i="7"/>
  <c r="M28" i="7"/>
  <c r="I28" i="7"/>
  <c r="D23" i="7"/>
  <c r="AG17" i="7"/>
  <c r="AH17" i="7" s="1"/>
  <c r="AI17" i="7" s="1"/>
  <c r="V18" i="7"/>
  <c r="AG20" i="7"/>
  <c r="AH20" i="7" s="1"/>
  <c r="AI20" i="7" s="1"/>
  <c r="L28" i="7"/>
  <c r="AF21" i="7"/>
  <c r="AG21" i="7" s="1"/>
  <c r="AH21" i="7" s="1"/>
  <c r="AF18" i="7"/>
  <c r="AG18" i="7" s="1"/>
  <c r="AH18" i="7" s="1"/>
  <c r="W21" i="7"/>
  <c r="U20" i="7"/>
  <c r="K31" i="7"/>
  <c r="O31" i="7"/>
  <c r="J30" i="7"/>
  <c r="J34" i="7"/>
  <c r="N31" i="6"/>
  <c r="J29" i="6"/>
  <c r="AG17" i="6"/>
  <c r="AH17" i="6" s="1"/>
  <c r="AI17" i="6" s="1"/>
  <c r="AG19" i="6"/>
  <c r="AH19" i="6" s="1"/>
  <c r="AI19" i="6" s="1"/>
  <c r="X22" i="6"/>
  <c r="L29" i="6"/>
  <c r="J31" i="6"/>
  <c r="AF18" i="6"/>
  <c r="AG18" i="6" s="1"/>
  <c r="AH18" i="6" s="1"/>
  <c r="AF21" i="6"/>
  <c r="AG21" i="6" s="1"/>
  <c r="AH21" i="6" s="1"/>
  <c r="N29" i="6"/>
  <c r="L31" i="6"/>
  <c r="J33" i="6"/>
  <c r="M28" i="6"/>
  <c r="I28" i="6"/>
  <c r="L28" i="6"/>
  <c r="C16" i="6"/>
  <c r="A17" i="6" s="1"/>
  <c r="C17" i="6" s="1"/>
  <c r="A18" i="6" s="1"/>
  <c r="C18" i="6" s="1"/>
  <c r="A19" i="6" s="1"/>
  <c r="C19" i="6" s="1"/>
  <c r="A20" i="6" s="1"/>
  <c r="C20" i="6" s="1"/>
  <c r="A21" i="6" s="1"/>
  <c r="C21" i="6" s="1"/>
  <c r="A22" i="6" s="1"/>
  <c r="C22" i="6" s="1"/>
  <c r="O28" i="6"/>
  <c r="K28" i="6"/>
  <c r="N28" i="6"/>
  <c r="J28" i="6"/>
  <c r="AF16" i="6"/>
  <c r="AG16" i="6" s="1"/>
  <c r="AH16" i="6" s="1"/>
  <c r="V18" i="6"/>
  <c r="W20" i="6"/>
  <c r="U19" i="6"/>
  <c r="F30" i="6"/>
  <c r="F31" i="6" s="1"/>
  <c r="F19" i="6"/>
  <c r="H30" i="6"/>
  <c r="H31" i="6" s="1"/>
  <c r="H19" i="6"/>
  <c r="G28" i="6"/>
  <c r="G20" i="6"/>
  <c r="G21" i="6" s="1"/>
  <c r="AG20" i="6"/>
  <c r="AH20" i="6" s="1"/>
  <c r="AI20" i="6" s="1"/>
  <c r="W21" i="6"/>
  <c r="AG22" i="6"/>
  <c r="AH22" i="6" s="1"/>
  <c r="AI22" i="6" s="1"/>
  <c r="J30" i="6"/>
  <c r="N30" i="6"/>
  <c r="J32" i="6"/>
  <c r="N32" i="6"/>
  <c r="J34" i="6"/>
  <c r="N34" i="6"/>
  <c r="W22" i="6"/>
  <c r="I29" i="6"/>
  <c r="M29" i="6"/>
  <c r="K30" i="6"/>
  <c r="O30" i="6"/>
  <c r="I31" i="6"/>
  <c r="M31" i="6"/>
  <c r="K32" i="6"/>
  <c r="O32" i="6"/>
  <c r="I33" i="6"/>
  <c r="M33" i="6"/>
  <c r="K34" i="6"/>
  <c r="O34" i="6"/>
  <c r="L30" i="6"/>
  <c r="L32" i="6"/>
  <c r="L34" i="6"/>
  <c r="K29" i="6"/>
  <c r="I30" i="6"/>
  <c r="K31" i="6"/>
  <c r="I32" i="6"/>
  <c r="K33" i="6"/>
  <c r="I34" i="6"/>
  <c r="X22" i="5"/>
  <c r="N29" i="5"/>
  <c r="N33" i="5"/>
  <c r="M30" i="5"/>
  <c r="AF21" i="5"/>
  <c r="AG21" i="5" s="1"/>
  <c r="AH21" i="5" s="1"/>
  <c r="J29" i="5"/>
  <c r="O29" i="5"/>
  <c r="I30" i="5"/>
  <c r="J33" i="5"/>
  <c r="O33" i="5"/>
  <c r="I34" i="5"/>
  <c r="L29" i="5"/>
  <c r="AF18" i="5"/>
  <c r="AG18" i="5" s="1"/>
  <c r="AH18" i="5" s="1"/>
  <c r="K29" i="5"/>
  <c r="L30" i="5"/>
  <c r="K33" i="5"/>
  <c r="L34" i="5"/>
  <c r="H19" i="5"/>
  <c r="H20" i="5" s="1"/>
  <c r="H21" i="5" s="1"/>
  <c r="H30" i="5"/>
  <c r="H31" i="5" s="1"/>
  <c r="O32" i="5"/>
  <c r="K32" i="5"/>
  <c r="N32" i="5"/>
  <c r="J32" i="5"/>
  <c r="L32" i="5"/>
  <c r="I32" i="5"/>
  <c r="M32" i="5"/>
  <c r="M31" i="5"/>
  <c r="I31" i="5"/>
  <c r="L31" i="5"/>
  <c r="N31" i="5"/>
  <c r="K31" i="5"/>
  <c r="J31" i="5"/>
  <c r="O31" i="5"/>
  <c r="O28" i="5"/>
  <c r="K28" i="5"/>
  <c r="N28" i="5"/>
  <c r="J28" i="5"/>
  <c r="AG17" i="5"/>
  <c r="AH17" i="5" s="1"/>
  <c r="AI17" i="5" s="1"/>
  <c r="G28" i="5"/>
  <c r="G20" i="5"/>
  <c r="G21" i="5" s="1"/>
  <c r="W20" i="5"/>
  <c r="U19" i="5"/>
  <c r="AG22" i="5"/>
  <c r="AH22" i="5" s="1"/>
  <c r="AI22" i="5" s="1"/>
  <c r="L28" i="5"/>
  <c r="AF16" i="5"/>
  <c r="AG16" i="5" s="1"/>
  <c r="AH16" i="5" s="1"/>
  <c r="F30" i="5"/>
  <c r="F31" i="5" s="1"/>
  <c r="F19" i="5"/>
  <c r="M28" i="5"/>
  <c r="C16" i="5"/>
  <c r="A17" i="5" s="1"/>
  <c r="C17" i="5" s="1"/>
  <c r="A18" i="5" s="1"/>
  <c r="C18" i="5" s="1"/>
  <c r="A19" i="5" s="1"/>
  <c r="C19" i="5" s="1"/>
  <c r="A20" i="5" s="1"/>
  <c r="C20" i="5" s="1"/>
  <c r="A21" i="5" s="1"/>
  <c r="C21" i="5" s="1"/>
  <c r="A22" i="5" s="1"/>
  <c r="C22" i="5" s="1"/>
  <c r="AG19" i="5"/>
  <c r="AH19" i="5" s="1"/>
  <c r="AI19" i="5" s="1"/>
  <c r="AG20" i="5"/>
  <c r="AH20" i="5" s="1"/>
  <c r="AI20" i="5" s="1"/>
  <c r="X21" i="5"/>
  <c r="V20" i="5"/>
  <c r="D23" i="5"/>
  <c r="I28" i="5"/>
  <c r="J30" i="5"/>
  <c r="N30" i="5"/>
  <c r="J34" i="5"/>
  <c r="N34" i="5"/>
  <c r="W22" i="5"/>
  <c r="I29" i="5"/>
  <c r="K30" i="5"/>
  <c r="I33" i="5"/>
  <c r="K34" i="5"/>
  <c r="O35" i="6" l="1"/>
  <c r="L35" i="5"/>
  <c r="H28" i="5"/>
  <c r="S32" i="5"/>
  <c r="X20" i="6"/>
  <c r="H32" i="8"/>
  <c r="H29" i="8"/>
  <c r="F29" i="8"/>
  <c r="F32" i="8"/>
  <c r="S35" i="8"/>
  <c r="W18" i="8"/>
  <c r="U17" i="8"/>
  <c r="H22" i="8"/>
  <c r="H33" i="8"/>
  <c r="H34" i="8" s="1"/>
  <c r="F33" i="8"/>
  <c r="F34" i="8" s="1"/>
  <c r="F22" i="8"/>
  <c r="N35" i="7"/>
  <c r="O35" i="7"/>
  <c r="S34" i="7"/>
  <c r="M35" i="7"/>
  <c r="S30" i="7"/>
  <c r="K35" i="7"/>
  <c r="S31" i="7"/>
  <c r="H28" i="7"/>
  <c r="H20" i="7"/>
  <c r="H21" i="7" s="1"/>
  <c r="U19" i="7"/>
  <c r="W20" i="7"/>
  <c r="L35" i="7"/>
  <c r="J35" i="7"/>
  <c r="G29" i="7"/>
  <c r="G32" i="7"/>
  <c r="S33" i="7"/>
  <c r="G33" i="7"/>
  <c r="G34" i="7" s="1"/>
  <c r="G30" i="7" s="1"/>
  <c r="G31" i="7" s="1"/>
  <c r="G22" i="7"/>
  <c r="F28" i="7"/>
  <c r="F20" i="7"/>
  <c r="F21" i="7" s="1"/>
  <c r="X18" i="7"/>
  <c r="V17" i="7"/>
  <c r="I35" i="7"/>
  <c r="S28" i="7"/>
  <c r="S32" i="7"/>
  <c r="S29" i="7"/>
  <c r="S31" i="6"/>
  <c r="S29" i="5"/>
  <c r="S34" i="5"/>
  <c r="S29" i="6"/>
  <c r="F20" i="6"/>
  <c r="F21" i="6" s="1"/>
  <c r="F28" i="6"/>
  <c r="V17" i="6"/>
  <c r="X18" i="6"/>
  <c r="N35" i="6"/>
  <c r="L35" i="6"/>
  <c r="S32" i="6"/>
  <c r="G33" i="6"/>
  <c r="G34" i="6" s="1"/>
  <c r="G30" i="6" s="1"/>
  <c r="G31" i="6" s="1"/>
  <c r="G22" i="6"/>
  <c r="K35" i="6"/>
  <c r="S33" i="6"/>
  <c r="G29" i="6"/>
  <c r="G32" i="6"/>
  <c r="W19" i="6"/>
  <c r="U18" i="6"/>
  <c r="I35" i="6"/>
  <c r="S28" i="6"/>
  <c r="S34" i="6"/>
  <c r="S30" i="6"/>
  <c r="H28" i="6"/>
  <c r="H20" i="6"/>
  <c r="H21" i="6" s="1"/>
  <c r="J35" i="6"/>
  <c r="M35" i="6"/>
  <c r="O35" i="5"/>
  <c r="S30" i="5"/>
  <c r="S33" i="5"/>
  <c r="M35" i="5"/>
  <c r="U18" i="5"/>
  <c r="W19" i="5"/>
  <c r="S28" i="5"/>
  <c r="I35" i="5"/>
  <c r="G33" i="5"/>
  <c r="G34" i="5" s="1"/>
  <c r="G30" i="5" s="1"/>
  <c r="G31" i="5" s="1"/>
  <c r="G22" i="5"/>
  <c r="J35" i="5"/>
  <c r="H33" i="5"/>
  <c r="H34" i="5" s="1"/>
  <c r="H22" i="5"/>
  <c r="G32" i="5"/>
  <c r="G29" i="5"/>
  <c r="N35" i="5"/>
  <c r="S31" i="5"/>
  <c r="K35" i="5"/>
  <c r="V19" i="5"/>
  <c r="X20" i="5"/>
  <c r="F28" i="5"/>
  <c r="F20" i="5"/>
  <c r="F21" i="5" s="1"/>
  <c r="H29" i="5"/>
  <c r="H32" i="5"/>
  <c r="W17" i="8" l="1"/>
  <c r="U16" i="8"/>
  <c r="W16" i="8" s="1"/>
  <c r="S35" i="7"/>
  <c r="V16" i="7"/>
  <c r="X16" i="7" s="1"/>
  <c r="X17" i="7"/>
  <c r="W19" i="7"/>
  <c r="U18" i="7"/>
  <c r="H33" i="7"/>
  <c r="H34" i="7" s="1"/>
  <c r="H22" i="7"/>
  <c r="F33" i="7"/>
  <c r="F34" i="7" s="1"/>
  <c r="F22" i="7"/>
  <c r="H29" i="7"/>
  <c r="H32" i="7"/>
  <c r="F32" i="7"/>
  <c r="F29" i="7"/>
  <c r="S35" i="6"/>
  <c r="H22" i="6"/>
  <c r="H33" i="6"/>
  <c r="H34" i="6" s="1"/>
  <c r="F33" i="6"/>
  <c r="F34" i="6" s="1"/>
  <c r="F22" i="6"/>
  <c r="W18" i="6"/>
  <c r="U17" i="6"/>
  <c r="X17" i="6"/>
  <c r="V16" i="6"/>
  <c r="X16" i="6" s="1"/>
  <c r="F29" i="6"/>
  <c r="F32" i="6"/>
  <c r="H32" i="6"/>
  <c r="H29" i="6"/>
  <c r="S35" i="5"/>
  <c r="X19" i="5"/>
  <c r="V18" i="5"/>
  <c r="F22" i="5"/>
  <c r="F33" i="5"/>
  <c r="F34" i="5" s="1"/>
  <c r="F32" i="5"/>
  <c r="F29" i="5"/>
  <c r="U17" i="5"/>
  <c r="W18" i="5"/>
  <c r="X23" i="6" l="1"/>
  <c r="W23" i="8"/>
  <c r="W18" i="7"/>
  <c r="U17" i="7"/>
  <c r="X23" i="7"/>
  <c r="U16" i="6"/>
  <c r="W16" i="6" s="1"/>
  <c r="W17" i="6"/>
  <c r="W17" i="5"/>
  <c r="U16" i="5"/>
  <c r="W16" i="5" s="1"/>
  <c r="X18" i="5"/>
  <c r="V17" i="5"/>
  <c r="W23" i="5" l="1"/>
  <c r="W17" i="7"/>
  <c r="U16" i="7"/>
  <c r="W16" i="7" s="1"/>
  <c r="W23" i="6"/>
  <c r="X17" i="5"/>
  <c r="V16" i="5"/>
  <c r="X16" i="5" s="1"/>
  <c r="X23" i="5" l="1"/>
  <c r="W23" i="7"/>
  <c r="I27" i="3" l="1"/>
  <c r="I29" i="3" s="1"/>
  <c r="N29" i="3"/>
  <c r="M29" i="3"/>
  <c r="L29" i="3"/>
  <c r="K29" i="3"/>
  <c r="J29" i="3"/>
  <c r="Q28" i="3"/>
  <c r="G28" i="3"/>
  <c r="G27" i="3"/>
  <c r="M26" i="3"/>
  <c r="L26" i="3"/>
  <c r="J26" i="3"/>
  <c r="M25" i="3"/>
  <c r="L25" i="3"/>
  <c r="K25" i="3"/>
  <c r="J25" i="3"/>
  <c r="I25" i="3"/>
  <c r="H25" i="3"/>
  <c r="F25" i="3"/>
  <c r="AB21" i="3"/>
  <c r="Q21" i="3"/>
  <c r="D21" i="3" s="1"/>
  <c r="W21" i="3" s="1"/>
  <c r="W22" i="3" s="1"/>
  <c r="F21" i="3"/>
  <c r="AB20" i="3"/>
  <c r="Q20" i="3"/>
  <c r="D20" i="3" s="1"/>
  <c r="F20" i="3"/>
  <c r="AB19" i="3"/>
  <c r="Q19" i="3"/>
  <c r="D19" i="3" s="1"/>
  <c r="F19" i="3"/>
  <c r="AB18" i="3"/>
  <c r="Q18" i="3"/>
  <c r="D18" i="3" s="1"/>
  <c r="F18" i="3"/>
  <c r="AB17" i="3"/>
  <c r="T17" i="3"/>
  <c r="T18" i="3" s="1"/>
  <c r="S17" i="3"/>
  <c r="S19" i="3" s="1"/>
  <c r="Q17" i="3"/>
  <c r="D17" i="3" s="1"/>
  <c r="G17" i="3"/>
  <c r="G18" i="3" s="1"/>
  <c r="F17" i="3"/>
  <c r="AB16" i="3"/>
  <c r="Q16" i="3"/>
  <c r="H16" i="3"/>
  <c r="H28" i="3" s="1"/>
  <c r="F16" i="3"/>
  <c r="F27" i="3" s="1"/>
  <c r="Q12" i="3"/>
  <c r="F28" i="3" l="1"/>
  <c r="Q29" i="3"/>
  <c r="D16" i="3"/>
  <c r="W16" i="3" s="1"/>
  <c r="R22" i="3"/>
  <c r="C12" i="3" s="1"/>
  <c r="U19" i="3"/>
  <c r="S20" i="3"/>
  <c r="U20" i="3" s="1"/>
  <c r="AC17" i="3"/>
  <c r="AD17" i="3" s="1"/>
  <c r="AE17" i="3" s="1"/>
  <c r="S18" i="3"/>
  <c r="Q27" i="3"/>
  <c r="U17" i="3"/>
  <c r="AC18" i="3"/>
  <c r="AD18" i="3" s="1"/>
  <c r="AE18" i="3" s="1"/>
  <c r="T21" i="3"/>
  <c r="V21" i="3" s="1"/>
  <c r="V18" i="3"/>
  <c r="D22" i="3"/>
  <c r="H18" i="3"/>
  <c r="H17" i="3"/>
  <c r="G20" i="3"/>
  <c r="T20" i="3"/>
  <c r="V20" i="3" s="1"/>
  <c r="AC20" i="3"/>
  <c r="AD20" i="3" s="1"/>
  <c r="AE20" i="3" s="1"/>
  <c r="V17" i="3"/>
  <c r="G19" i="3"/>
  <c r="T19" i="3"/>
  <c r="V19" i="3" s="1"/>
  <c r="AC19" i="3"/>
  <c r="AD19" i="3" s="1"/>
  <c r="AE19" i="3" s="1"/>
  <c r="H20" i="3"/>
  <c r="H21" i="3"/>
  <c r="AC21" i="3"/>
  <c r="AD21" i="3" s="1"/>
  <c r="AE21" i="3" s="1"/>
  <c r="H27" i="3"/>
  <c r="H19" i="3"/>
  <c r="C16" i="3" l="1"/>
  <c r="A17" i="3" s="1"/>
  <c r="C17" i="3" s="1"/>
  <c r="A18" i="3" s="1"/>
  <c r="C18" i="3" s="1"/>
  <c r="A19" i="3" s="1"/>
  <c r="C19" i="3" s="1"/>
  <c r="A20" i="3" s="1"/>
  <c r="C20" i="3" s="1"/>
  <c r="U16" i="3"/>
  <c r="AC16" i="3"/>
  <c r="AD16" i="3" s="1"/>
  <c r="AE16" i="3" s="1"/>
  <c r="V16" i="3"/>
  <c r="V22" i="3" s="1"/>
  <c r="U18" i="3"/>
  <c r="S21" i="3"/>
  <c r="U21" i="3" s="1"/>
  <c r="U22" i="3" l="1"/>
</calcChain>
</file>

<file path=xl/sharedStrings.xml><?xml version="1.0" encoding="utf-8"?>
<sst xmlns="http://schemas.openxmlformats.org/spreadsheetml/2006/main" count="2803" uniqueCount="376">
  <si>
    <t>NHA BE GARMENT CORPORATION-JOINT STOCK COMPANY</t>
  </si>
  <si>
    <t>TAN THUAN DONG WARD 7 TH DISTRICT  HOCHIMINH CITY, VIET NAM</t>
  </si>
  <si>
    <t>TEL: (848) 38722833       FAX : (848) 38729937</t>
  </si>
  <si>
    <t>***********************ooo***********************</t>
  </si>
  <si>
    <t>D</t>
  </si>
  <si>
    <t>PACKING LIST</t>
  </si>
  <si>
    <t>STYLE #:</t>
  </si>
  <si>
    <t>PO:</t>
  </si>
  <si>
    <t>13 WEST 36TH ST. #300 NEW YORK ,NY 10018,USA</t>
  </si>
  <si>
    <t>Q'TY:</t>
  </si>
  <si>
    <t>Main lable TOMMY</t>
  </si>
  <si>
    <t xml:space="preserve">NUMBER </t>
  </si>
  <si>
    <t>TOTAL 
CARTON</t>
  </si>
  <si>
    <t>LPN</t>
  </si>
  <si>
    <t>STYLE</t>
  </si>
  <si>
    <t>Color</t>
  </si>
  <si>
    <t>Po#</t>
  </si>
  <si>
    <t>SIZE</t>
  </si>
  <si>
    <t>TOTAL PER CTNS</t>
  </si>
  <si>
    <t xml:space="preserve">TOTAL
Q'TY </t>
  </si>
  <si>
    <t>NW</t>
  </si>
  <si>
    <t>G,W</t>
  </si>
  <si>
    <t>TT N,W</t>
  </si>
  <si>
    <t>TT G,W</t>
  </si>
  <si>
    <t xml:space="preserve">CBM </t>
  </si>
  <si>
    <t xml:space="preserve">MEAS </t>
  </si>
  <si>
    <t>CARTON SIZE</t>
  </si>
  <si>
    <t>32/40</t>
  </si>
  <si>
    <t>32/42</t>
  </si>
  <si>
    <t>KGS</t>
  </si>
  <si>
    <t>R</t>
  </si>
  <si>
    <t>C</t>
  </si>
  <si>
    <t>-</t>
  </si>
  <si>
    <t>TOTAL</t>
  </si>
  <si>
    <t>* SIZE BREAKDOWN</t>
  </si>
  <si>
    <t>Total</t>
  </si>
  <si>
    <t>410 NAVY</t>
  </si>
  <si>
    <t>T821096</t>
  </si>
  <si>
    <t>6203.31.9020</t>
  </si>
  <si>
    <t>Classic Navy Blazer</t>
  </si>
  <si>
    <t>L 76cm X W 39cm X H 21cm</t>
  </si>
  <si>
    <t>55% Wool 45% Polyester</t>
  </si>
  <si>
    <t>WIDTH :58"</t>
  </si>
  <si>
    <t>048283243370</t>
  </si>
  <si>
    <t>36VHSDE06F-404-PC</t>
  </si>
  <si>
    <t>6203.33.2020</t>
  </si>
  <si>
    <t>6203.43.9020</t>
  </si>
  <si>
    <t>TOTAL
Q'TY 
SET</t>
  </si>
  <si>
    <t>404 BANK BLUE</t>
  </si>
  <si>
    <t>LABLE</t>
  </si>
  <si>
    <t>36VHSDE04F-032-PC</t>
  </si>
  <si>
    <t>WIDTH :56"</t>
  </si>
  <si>
    <t xml:space="preserve">LABEL </t>
  </si>
  <si>
    <t>32/38</t>
  </si>
  <si>
    <t>s</t>
  </si>
  <si>
    <t>361043K-404-PC</t>
  </si>
  <si>
    <t>BI STRETCH GRID JACKET -HUSKY</t>
  </si>
  <si>
    <t>BOYS JACKET: 69% POLYESTER 25% RAYON 6% SPANDEX WOVEN</t>
  </si>
  <si>
    <t>8H</t>
  </si>
  <si>
    <t>10H</t>
  </si>
  <si>
    <t>12H</t>
  </si>
  <si>
    <t>14H</t>
  </si>
  <si>
    <t>16H</t>
  </si>
  <si>
    <t>18H</t>
  </si>
  <si>
    <t>20H</t>
  </si>
  <si>
    <t>TOTAL 
PCS</t>
  </si>
  <si>
    <t xml:space="preserve">TOTAL PER </t>
  </si>
  <si>
    <t>JCR</t>
  </si>
  <si>
    <t>JCC</t>
  </si>
  <si>
    <t>361044K-404-PC</t>
  </si>
  <si>
    <t>BI STRETCH GRID PANT -HUSKY</t>
  </si>
  <si>
    <t>BOYS PANT: 69% POLYESTER 25% RAYON 6% SPANDEX WOVEN</t>
  </si>
  <si>
    <t>L31M000000000171595 ~ 171648</t>
  </si>
  <si>
    <t>L31M000000000171649 ~ 171732</t>
  </si>
  <si>
    <t>L31M000000000171733 ~ 171828</t>
  </si>
  <si>
    <t>L31M000000000171829 ~ 171942</t>
  </si>
  <si>
    <t>L31M000000000171943 ~ 172074</t>
  </si>
  <si>
    <t>L31M000000000172075 ~ 172230</t>
  </si>
  <si>
    <t>L31M000000000172231 ~ 172344</t>
  </si>
  <si>
    <t>P31M000000000187467 ~ 187469</t>
  </si>
  <si>
    <t>P31M000000000187470 ~ 187478</t>
  </si>
  <si>
    <t>P31M000000000187479 ~ 187485</t>
  </si>
  <si>
    <t>P31M000000000187486 ~ 187496</t>
  </si>
  <si>
    <t>P31M000000000187497 ~ 187511</t>
  </si>
  <si>
    <t>P31M000000000187512 ~ 187523</t>
  </si>
  <si>
    <t>P31M000000000187524 ~ 187534</t>
  </si>
  <si>
    <t>L31M000000000172345 ~ 172346</t>
  </si>
  <si>
    <t>L31M000000000172347 ~ 172353</t>
  </si>
  <si>
    <t>L31M000000000172354 ~ 172360</t>
  </si>
  <si>
    <t>L31M000000000172361 ~ 172368</t>
  </si>
  <si>
    <t>L31M000000000172369 ~ 172376</t>
  </si>
  <si>
    <t>L31M000000000172377 ~ 172385</t>
  </si>
  <si>
    <t>L31M000000000172386 ~ 172394</t>
  </si>
  <si>
    <t>P31M000000000187535 ~ 187548</t>
  </si>
  <si>
    <t>P31M000000000187549 ~ 187581</t>
  </si>
  <si>
    <t>P31M000000000187582 ~ 187602</t>
  </si>
  <si>
    <t>P31M000000000187603 ~ 187625</t>
  </si>
  <si>
    <t>P31M000000000187626 ~ 187654</t>
  </si>
  <si>
    <t>P31M000000000187655 ~ 187690</t>
  </si>
  <si>
    <t>P31M000000000187691 ~ 187727</t>
  </si>
  <si>
    <t>Main label : VAN HEUSEN</t>
  </si>
  <si>
    <t>F&amp;T APPAREL LLC 350 5TH AVENUE 6TH FLOOR NEW YORK ,NY 10018,USA</t>
  </si>
  <si>
    <t>D:62cm x R:31cm x C:34cm</t>
  </si>
  <si>
    <t>D:71cm x R:33cm x C:34cm</t>
  </si>
  <si>
    <t>D:28cm x R:25cm  x C:12cm</t>
  </si>
  <si>
    <t>D:33cm x R:27cm x C:12cm</t>
  </si>
  <si>
    <t>D:35cm x R:29.5cm x C:12cm</t>
  </si>
  <si>
    <t>PO</t>
  </si>
  <si>
    <t>SKU</t>
  </si>
  <si>
    <t>Quantity</t>
  </si>
  <si>
    <t>Volume</t>
  </si>
  <si>
    <t>GW</t>
  </si>
  <si>
    <t>CTN</t>
  </si>
  <si>
    <t>m</t>
  </si>
  <si>
    <t>cuộn</t>
  </si>
  <si>
    <t>6203.33.0000</t>
  </si>
  <si>
    <t>Main label : Calvin Klein</t>
  </si>
  <si>
    <t>BOYS WOVEN BLAZER JACKET</t>
  </si>
  <si>
    <t>CAN</t>
  </si>
  <si>
    <t>BLACK</t>
  </si>
  <si>
    <t>INFINITE STRETCH JACKET</t>
  </si>
  <si>
    <t>63% POLYESTER 33% RAYON 4% SPANDEX</t>
  </si>
  <si>
    <t>25K4J0095N-001-PC</t>
  </si>
  <si>
    <t>OXFORD GREY</t>
  </si>
  <si>
    <t>25K4J0095N-022-PC</t>
  </si>
  <si>
    <t>25K8J0095N-001-PC</t>
  </si>
  <si>
    <t>25K8J0095N-022-PC</t>
  </si>
  <si>
    <t>MEAS (cm)</t>
  </si>
  <si>
    <t>29 x 17 x 5 INCHES</t>
  </si>
  <si>
    <t>31.5 x 18 x 5 INCHES</t>
  </si>
  <si>
    <t>35 x 19.3 x 5 INCHES</t>
  </si>
  <si>
    <t>23 x 15 x 4.5 INCHES</t>
  </si>
  <si>
    <t>25.5 x 16 x 4.5 INCHES</t>
  </si>
  <si>
    <t xml:space="preserve">BI-STRETCH JACKET </t>
  </si>
  <si>
    <t xml:space="preserve">6203.33.2020 </t>
  </si>
  <si>
    <t>ECM</t>
  </si>
  <si>
    <t>16" x 13" x 6.7"</t>
  </si>
  <si>
    <t>17.13" x 14" x 6.7</t>
  </si>
  <si>
    <t>15.25" x 12.5" x 9.84"</t>
  </si>
  <si>
    <t>16.25" x 13.5" x 9.84"</t>
  </si>
  <si>
    <t>WIDTH :</t>
  </si>
  <si>
    <t>36K821301-001-PC</t>
  </si>
  <si>
    <t xml:space="preserve">BLACK </t>
  </si>
  <si>
    <t xml:space="preserve">36K8J0027-421-PC </t>
  </si>
  <si>
    <t xml:space="preserve">421 MED BLUE </t>
  </si>
  <si>
    <t xml:space="preserve">PLAIN WEAVE JACKET </t>
  </si>
  <si>
    <t>BOYS JACKET : 63% POLYESTER/33% RAYON/4% SPANDEX WOVEN</t>
  </si>
  <si>
    <t xml:space="preserve">36K8J0045-001-PC </t>
  </si>
  <si>
    <t>CK INFINITE STRETCH (REPLEN.) JACKET</t>
  </si>
  <si>
    <t>BOYS WOVEN JACKET : 63% POLYESTER, 33% RAYON, 4% SPANDEX</t>
  </si>
  <si>
    <t>boy's woven jacket:82% Polyester 16% Rayon 2% Spandex</t>
  </si>
  <si>
    <t xml:space="preserve">001 BLACK </t>
  </si>
  <si>
    <t>022 OXFORD GREY HE</t>
  </si>
  <si>
    <t xml:space="preserve">36K8J0045-022-PC </t>
  </si>
  <si>
    <t>L31M000000000305668 ~ 305673</t>
  </si>
  <si>
    <t>L31M000000000313330 ~ 313335</t>
  </si>
  <si>
    <t>L31M000000000317440 ~ 317447</t>
  </si>
  <si>
    <t>L31M000000000317448 ~ 317461</t>
  </si>
  <si>
    <t>L31M000000000317462 ~ 317471</t>
  </si>
  <si>
    <t>L31M000000000317472 ~ 317491</t>
  </si>
  <si>
    <t>L31M000000000317492 ~ 317501</t>
  </si>
  <si>
    <t>L31M000000000317502 ~ 317741</t>
  </si>
  <si>
    <t>L31M000000000317742 ~ 318125</t>
  </si>
  <si>
    <t>L31M000000000306490 ~ 307041</t>
  </si>
  <si>
    <t>L31M000000000306346 ~ 306489</t>
  </si>
  <si>
    <t>L31M000000000306106 ~ 306345</t>
  </si>
  <si>
    <t>L31M000000000305842 ~ 306105</t>
  </si>
  <si>
    <t>L31M000000000305674 ~ 305841</t>
  </si>
  <si>
    <t>L31M000000000319282 ~ 319425</t>
  </si>
  <si>
    <t>L31M000000000319114 ~ 319281</t>
  </si>
  <si>
    <t>L31M000000000318922 ~ 319113</t>
  </si>
  <si>
    <t>L31M000000000318706 ~ 318921</t>
  </si>
  <si>
    <t>L31M000000000318514 ~ 318705</t>
  </si>
  <si>
    <t>L31M000000000318346 ~ 318513</t>
  </si>
  <si>
    <t>L31M000000000318226 ~ 318345</t>
  </si>
  <si>
    <t>L31M000000000314284 ~ 315039</t>
  </si>
  <si>
    <t>L31M000000000313336 ~ 314283</t>
  </si>
  <si>
    <t>L31M000000000312334 ~ 313329</t>
  </si>
  <si>
    <t>L31M000000000311170 ~ 312333</t>
  </si>
  <si>
    <t>L31M000000000309610 ~ 311169</t>
  </si>
  <si>
    <t>L31M000000000308146 ~ 309609</t>
  </si>
  <si>
    <t>L31M000000000307042 ~ 308145</t>
  </si>
  <si>
    <t>L31M000000000321226 ~ 321405</t>
  </si>
  <si>
    <t>L31M000000000321022 ~ 321225</t>
  </si>
  <si>
    <t>L31M000000000320770 ~ 321021</t>
  </si>
  <si>
    <t>L31M000000000320482 ~ 320769</t>
  </si>
  <si>
    <t>L31M000000000320122 ~ 320481</t>
  </si>
  <si>
    <t>L31M000000000319738 ~ 320121</t>
  </si>
  <si>
    <t>L31M000000000319426 ~ 319737</t>
  </si>
  <si>
    <t>L31M000000000317392 ~ 317439</t>
  </si>
  <si>
    <t>L31M000000000317152 ~ 317391</t>
  </si>
  <si>
    <t>L31M000000000316696 ~ 317151</t>
  </si>
  <si>
    <t>L31M000000000316408 ~ 316695</t>
  </si>
  <si>
    <t>L31M000000000316120 ~ 316407</t>
  </si>
  <si>
    <t>L31M000000000315352 ~ 316119</t>
  </si>
  <si>
    <t>L31M000000000315040 ~ 315351</t>
  </si>
  <si>
    <t>L31M000000000322462 ~ 322581</t>
  </si>
  <si>
    <t>L31M000000000322294 ~ 322461</t>
  </si>
  <si>
    <t>L31M000000000322126 ~ 322293</t>
  </si>
  <si>
    <t>L31M000000000321934 ~ 322125</t>
  </si>
  <si>
    <t>L31M000000000321742 ~ 321933</t>
  </si>
  <si>
    <t>L31M000000000321550 ~ 321741</t>
  </si>
  <si>
    <t>L31M000000000321406 ~ 321549</t>
  </si>
  <si>
    <t xml:space="preserve">36TBSDD11F-410-PC </t>
  </si>
  <si>
    <t>410 MAST NAVY</t>
  </si>
  <si>
    <t xml:space="preserve">BI STRETCH ALEXANDER BLAZER </t>
  </si>
  <si>
    <t>Main label : Tommy Hilfiger</t>
  </si>
  <si>
    <t xml:space="preserve">BLAZER - 74% POLYESTER, 20%RAYON, 6% SPANDEX </t>
  </si>
  <si>
    <t>WIDTH :58/60''</t>
  </si>
  <si>
    <t>L31M000000000304938 ~ 305297</t>
  </si>
  <si>
    <t>L31M000000000304554 ~ 304937</t>
  </si>
  <si>
    <t>L31M000000000304122 ~ 304553</t>
  </si>
  <si>
    <t>L31M000000000302396 ~ 302827</t>
  </si>
  <si>
    <t>L31M000000000302934 ~ 303401</t>
  </si>
  <si>
    <t>L31M000000000303402 ~ 303821</t>
  </si>
  <si>
    <t>L31M000000000303822 ~ 304121</t>
  </si>
  <si>
    <t>TOTAL
Q'TY 
PCS</t>
  </si>
  <si>
    <t>36TBSDD11F-410-PC</t>
  </si>
  <si>
    <t>LABEL</t>
  </si>
  <si>
    <t>16 x 13 x 6.7 inches</t>
  </si>
  <si>
    <t>17.13 x 14 x 6.7 inches</t>
  </si>
  <si>
    <t>15.25 x 12.5 x 9.84 inches</t>
  </si>
  <si>
    <t>16.25 x 13.5 x 9.84 inches</t>
  </si>
  <si>
    <t>BLAZER - 74% POLYESTER, 20%RAYON, 6% SPANDEX</t>
  </si>
  <si>
    <t>L31M000000000407717 ~ 407747</t>
  </si>
  <si>
    <t>L31M000000000407748 ~ 407771</t>
  </si>
  <si>
    <t>L31M000000000404905 ~ 404925</t>
  </si>
  <si>
    <t>L31M000000000404926 ~ 404952</t>
  </si>
  <si>
    <t>L31M000000000404953 ~ 404981</t>
  </si>
  <si>
    <t>L31M000000000404982 ~ 405001</t>
  </si>
  <si>
    <t>L31M000000000405002 ~ 405016</t>
  </si>
  <si>
    <t>No Main Label</t>
  </si>
  <si>
    <t>14/06/2023</t>
  </si>
  <si>
    <t>Ladies Shirt</t>
  </si>
  <si>
    <t>Q'ty</t>
  </si>
  <si>
    <t>Description</t>
  </si>
  <si>
    <t>Date</t>
  </si>
  <si>
    <t>Carton</t>
  </si>
  <si>
    <t>CBM</t>
  </si>
  <si>
    <t>Men's Blazer</t>
  </si>
  <si>
    <t>15/06/2023</t>
  </si>
  <si>
    <t>padding</t>
  </si>
  <si>
    <t>CHILDREN SUITS</t>
  </si>
  <si>
    <t>CHILDREN  PANTS JEAN</t>
  </si>
  <si>
    <t>CHILDREN PANTS</t>
  </si>
  <si>
    <t>16/06/2023</t>
  </si>
  <si>
    <t>SUM TOTAL</t>
  </si>
  <si>
    <t>19/06/2023</t>
  </si>
  <si>
    <t>LADIES VEST</t>
  </si>
  <si>
    <t>LADIES SKIRT</t>
  </si>
  <si>
    <t>CHILDREN SHIRT</t>
  </si>
  <si>
    <t>CHILDREN SKIRT</t>
  </si>
  <si>
    <t>MEN'S JACKET</t>
  </si>
  <si>
    <t>MEN'S PANTS</t>
  </si>
  <si>
    <t>MEN'S PANTS(KHAKI)</t>
  </si>
  <si>
    <t>MEN'S SHORT(KHAKI)</t>
  </si>
  <si>
    <t>LADIES JACKET</t>
  </si>
  <si>
    <t>LADIES BLOUSE</t>
  </si>
  <si>
    <t>LADIES PANTS( KHAKI)</t>
  </si>
  <si>
    <t>LADIES PANTS</t>
  </si>
  <si>
    <t>20/06/2023</t>
  </si>
  <si>
    <t>MEN'S VEST( GHILE)</t>
  </si>
  <si>
    <t>LADIES PADDING JACKET</t>
  </si>
  <si>
    <t>LADIES COAT</t>
  </si>
  <si>
    <t>MEN'S COAT</t>
  </si>
  <si>
    <t>77x50x40</t>
  </si>
  <si>
    <t>90x60x30</t>
  </si>
  <si>
    <t>21/06/2023</t>
  </si>
  <si>
    <t>MEN'S BLAZER</t>
  </si>
  <si>
    <t>MEN"S COAT</t>
  </si>
  <si>
    <t>22/06/2023</t>
  </si>
  <si>
    <t>23/06/2023</t>
  </si>
  <si>
    <t>26/06/2023</t>
  </si>
  <si>
    <t>27/06/2023</t>
  </si>
  <si>
    <t>102X60X32</t>
  </si>
  <si>
    <t>Còn lại</t>
  </si>
  <si>
    <t>28/06/2023</t>
  </si>
  <si>
    <t>29/06/2023</t>
  </si>
  <si>
    <t>03/07/2023</t>
  </si>
  <si>
    <t>FAM</t>
  </si>
  <si>
    <t>Men coat</t>
  </si>
  <si>
    <t>lady vest</t>
  </si>
  <si>
    <t>lady JKT</t>
  </si>
  <si>
    <t>Children skirt</t>
  </si>
  <si>
    <t>Men's short</t>
  </si>
  <si>
    <t>Men's Pant</t>
  </si>
  <si>
    <t>Children shirt</t>
  </si>
  <si>
    <t>lady pant</t>
  </si>
  <si>
    <t>men ghile</t>
  </si>
  <si>
    <t>lady coat</t>
  </si>
  <si>
    <t>children pant</t>
  </si>
  <si>
    <t>children pant jean</t>
  </si>
  <si>
    <t>Quần trẻ em + suit</t>
  </si>
  <si>
    <t>men blazer</t>
  </si>
  <si>
    <t>men JKT</t>
  </si>
  <si>
    <t>lady blouse +8pcs skirt</t>
  </si>
  <si>
    <t>04/07/2023</t>
  </si>
  <si>
    <t>Men's Coats</t>
  </si>
  <si>
    <t>05/07/2023</t>
  </si>
  <si>
    <t>06/07/2023</t>
  </si>
  <si>
    <t xml:space="preserve">Men's Blazer còn </t>
  </si>
  <si>
    <t>07/07/2023</t>
  </si>
  <si>
    <t>Men's Coat</t>
  </si>
  <si>
    <t>M</t>
  </si>
  <si>
    <t>S</t>
  </si>
  <si>
    <t>38S</t>
  </si>
  <si>
    <t>42S</t>
  </si>
  <si>
    <t>42R</t>
  </si>
  <si>
    <t>NO</t>
  </si>
  <si>
    <t>90 x 60 x 30</t>
  </si>
  <si>
    <t>CARTON SIZE (cm)</t>
  </si>
  <si>
    <t>425 s.Broadway, Los Angeles CA 90013 USA</t>
  </si>
  <si>
    <t>Maxim &amp; Maxim</t>
  </si>
  <si>
    <t>3XL</t>
  </si>
  <si>
    <t>Ladies Padding Jacket</t>
  </si>
  <si>
    <t>L</t>
  </si>
  <si>
    <t>XL</t>
  </si>
  <si>
    <t>XXL</t>
  </si>
  <si>
    <t>100 x 60 x 26</t>
  </si>
  <si>
    <t>Men's Vest (ghile)</t>
  </si>
  <si>
    <t>76 x 46 x 36</t>
  </si>
  <si>
    <t>Ladies Coat</t>
  </si>
  <si>
    <t>77 x 50 x 40</t>
  </si>
  <si>
    <t>XS</t>
  </si>
  <si>
    <t>Ladies Jacket</t>
  </si>
  <si>
    <t>Men's Short</t>
  </si>
  <si>
    <t>60 x 33 x 45</t>
  </si>
  <si>
    <t>Men's Pants</t>
  </si>
  <si>
    <t>Children Skirt</t>
  </si>
  <si>
    <t>Ladies Vest</t>
  </si>
  <si>
    <t>Ladies Blouse</t>
  </si>
  <si>
    <t>Ladies Skirt</t>
  </si>
  <si>
    <t>Children Shirt</t>
  </si>
  <si>
    <t>Ladies Pants</t>
  </si>
  <si>
    <t xml:space="preserve">Ladies Pants </t>
  </si>
  <si>
    <t>Ladies Suit</t>
  </si>
  <si>
    <t>60 x 40 x 27</t>
  </si>
  <si>
    <t>Children Pants</t>
  </si>
  <si>
    <t>48 x 40 x 32</t>
  </si>
  <si>
    <t>Children Pants Jean</t>
  </si>
  <si>
    <t>Men's Jacket</t>
  </si>
  <si>
    <t>4XL</t>
  </si>
  <si>
    <t>OK</t>
  </si>
  <si>
    <t>MEN'S VEST</t>
  </si>
  <si>
    <t>CHILDREN'S JEAN</t>
  </si>
  <si>
    <t xml:space="preserve">MÃ HÀNG : </t>
  </si>
  <si>
    <t xml:space="preserve">SỐ LƯỢNG </t>
  </si>
  <si>
    <t>+</t>
  </si>
  <si>
    <t>PCS</t>
  </si>
  <si>
    <t xml:space="preserve">KHÁCH HÀNG: </t>
  </si>
  <si>
    <t>KT GROUP</t>
  </si>
  <si>
    <t xml:space="preserve">CHUYỀN: </t>
  </si>
  <si>
    <t>VẢI CHÍNH</t>
  </si>
  <si>
    <t>SỐ LƯỢNG CỠ VÓC</t>
  </si>
  <si>
    <t>Tổng cộng</t>
  </si>
  <si>
    <t>Ngày xuất</t>
  </si>
  <si>
    <t>Tiêu hao vải chính</t>
  </si>
  <si>
    <t xml:space="preserve">Ghi chú </t>
  </si>
  <si>
    <t>Thành phần/PO</t>
  </si>
  <si>
    <t>Art</t>
  </si>
  <si>
    <t>MÀU</t>
  </si>
  <si>
    <t>SIZE/SEAM QUẦN</t>
  </si>
  <si>
    <t>TỔNG CỘNG</t>
  </si>
  <si>
    <t>BHPC Pants</t>
  </si>
  <si>
    <t>Size</t>
  </si>
  <si>
    <t>Carton No</t>
  </si>
  <si>
    <t>30/30</t>
  </si>
  <si>
    <t>38/30</t>
  </si>
  <si>
    <t>36/30</t>
  </si>
  <si>
    <t>34/30</t>
  </si>
  <si>
    <t>32/32</t>
  </si>
  <si>
    <t>32/30</t>
  </si>
  <si>
    <t>36/32</t>
  </si>
  <si>
    <t>34/32</t>
  </si>
  <si>
    <t>TC</t>
  </si>
  <si>
    <t>TEL: 84903390035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</si>
</sst>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0.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2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2"/>
      <color rgb="FF000080"/>
      <name val="Arial"/>
      <family val="2"/>
    </font>
    <font>
      <b/>
      <sz val="10"/>
      <name val="Tahoma"/>
      <family val="2"/>
    </font>
    <font>
      <sz val="12"/>
      <color rgb="FF0000FF"/>
      <name val="Arial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name val="新細明體"/>
    </font>
    <font>
      <sz val="12"/>
      <name val="Arial"/>
      <family val="2"/>
    </font>
    <font>
      <sz val="12"/>
      <name val="VNI-Times"/>
    </font>
    <font>
      <sz val="10"/>
      <name val="Arial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i/>
      <sz val="12"/>
      <name val="Arial"/>
      <family val="2"/>
    </font>
    <font>
      <sz val="12"/>
      <color rgb="FFFF0000"/>
      <name val="Arial Narrow"/>
      <family val="2"/>
    </font>
    <font>
      <sz val="12"/>
      <color rgb="FF00B050"/>
      <name val="Arial Narrow"/>
      <family val="2"/>
    </font>
    <font>
      <sz val="14"/>
      <color rgb="FF00B050"/>
      <name val="Arial Narrow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b/>
      <sz val="12"/>
      <color rgb="FF00B050"/>
      <name val="Arial Narrow"/>
      <family val="2"/>
    </font>
    <font>
      <b/>
      <sz val="11"/>
      <color rgb="FF00B050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 Narrow"/>
      <family val="2"/>
    </font>
    <font>
      <sz val="12"/>
      <color rgb="FFFF0000"/>
      <name val="新細明體"/>
      <family val="1"/>
      <charset val="136"/>
    </font>
    <font>
      <sz val="11"/>
      <color theme="0"/>
      <name val="Calibri"/>
      <family val="2"/>
      <scheme val="minor"/>
    </font>
    <font>
      <sz val="10"/>
      <name val="VNI-Times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color theme="0"/>
      <name val="Calibri"/>
      <family val="2"/>
      <scheme val="minor"/>
    </font>
    <font>
      <sz val="12"/>
      <name val="VNI-Garam"/>
      <family val="2"/>
    </font>
    <font>
      <b/>
      <sz val="16"/>
      <name val="VNI-Times"/>
    </font>
    <font>
      <b/>
      <sz val="11"/>
      <color theme="0"/>
      <name val="VNI-Times"/>
    </font>
    <font>
      <b/>
      <sz val="9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8"/>
      <name val="Times New Roman"/>
      <family val="1"/>
    </font>
    <font>
      <sz val="16"/>
      <color theme="1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9" fillId="0" borderId="0"/>
    <xf numFmtId="0" fontId="22" fillId="0" borderId="0"/>
    <xf numFmtId="0" fontId="24" fillId="0" borderId="0"/>
    <xf numFmtId="0" fontId="19" fillId="0" borderId="0"/>
    <xf numFmtId="0" fontId="42" fillId="0" borderId="0"/>
    <xf numFmtId="0" fontId="50" fillId="0" borderId="0"/>
  </cellStyleXfs>
  <cellXfs count="336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7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center"/>
    </xf>
    <xf numFmtId="0" fontId="8" fillId="2" borderId="0" xfId="1" applyFont="1" applyFill="1"/>
    <xf numFmtId="0" fontId="9" fillId="2" borderId="0" xfId="1" applyFont="1" applyFill="1" applyAlignment="1">
      <alignment horizontal="left" vertical="center"/>
    </xf>
    <xf numFmtId="0" fontId="7" fillId="2" borderId="0" xfId="1" applyFont="1" applyFill="1"/>
    <xf numFmtId="0" fontId="7" fillId="2" borderId="0" xfId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left"/>
    </xf>
    <xf numFmtId="3" fontId="7" fillId="2" borderId="0" xfId="1" applyNumberFormat="1" applyFont="1" applyFill="1"/>
    <xf numFmtId="0" fontId="8" fillId="2" borderId="1" xfId="1" applyFont="1" applyFill="1" applyBorder="1"/>
    <xf numFmtId="3" fontId="9" fillId="2" borderId="0" xfId="1" applyNumberFormat="1" applyFont="1" applyFill="1"/>
    <xf numFmtId="0" fontId="9" fillId="2" borderId="0" xfId="1" applyFont="1" applyFill="1"/>
    <xf numFmtId="0" fontId="9" fillId="2" borderId="8" xfId="1" applyFont="1" applyFill="1" applyBorder="1" applyAlignment="1">
      <alignment horizontal="center"/>
    </xf>
    <xf numFmtId="0" fontId="9" fillId="2" borderId="8" xfId="1" applyFont="1" applyFill="1" applyBorder="1" applyAlignment="1">
      <alignment vertical="center"/>
    </xf>
    <xf numFmtId="0" fontId="9" fillId="2" borderId="0" xfId="1" applyFont="1" applyFill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9" fillId="2" borderId="16" xfId="1" applyFont="1" applyFill="1" applyBorder="1" applyAlignment="1">
      <alignment vertical="center"/>
    </xf>
    <xf numFmtId="0" fontId="9" fillId="2" borderId="22" xfId="1" applyFont="1" applyFill="1" applyBorder="1" applyAlignment="1">
      <alignment horizontal="center"/>
    </xf>
    <xf numFmtId="0" fontId="9" fillId="2" borderId="22" xfId="1" applyFont="1" applyFill="1" applyBorder="1" applyAlignment="1">
      <alignment vertical="center"/>
    </xf>
    <xf numFmtId="3" fontId="5" fillId="2" borderId="23" xfId="1" quotePrefix="1" applyNumberFormat="1" applyFont="1" applyFill="1" applyBorder="1" applyAlignment="1">
      <alignment horizontal="center" vertical="center"/>
    </xf>
    <xf numFmtId="3" fontId="5" fillId="2" borderId="23" xfId="1" applyNumberFormat="1" applyFont="1" applyFill="1" applyBorder="1" applyAlignment="1">
      <alignment horizontal="center" vertical="center"/>
    </xf>
    <xf numFmtId="165" fontId="5" fillId="2" borderId="23" xfId="1" quotePrefix="1" applyNumberFormat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 wrapText="1"/>
    </xf>
    <xf numFmtId="3" fontId="13" fillId="2" borderId="23" xfId="2" applyNumberFormat="1" applyFont="1" applyFill="1" applyBorder="1" applyAlignment="1">
      <alignment horizontal="center" vertical="center"/>
    </xf>
    <xf numFmtId="166" fontId="5" fillId="2" borderId="23" xfId="1" applyNumberFormat="1" applyFont="1" applyFill="1" applyBorder="1" applyAlignment="1">
      <alignment vertical="center"/>
    </xf>
    <xf numFmtId="166" fontId="5" fillId="2" borderId="23" xfId="3" applyNumberFormat="1" applyFont="1" applyFill="1" applyBorder="1" applyAlignment="1">
      <alignment vertical="center"/>
    </xf>
    <xf numFmtId="166" fontId="5" fillId="2" borderId="23" xfId="3" applyNumberFormat="1" applyFont="1" applyFill="1" applyBorder="1" applyAlignment="1">
      <alignment horizontal="center" vertical="center"/>
    </xf>
    <xf numFmtId="2" fontId="5" fillId="2" borderId="23" xfId="3" applyNumberFormat="1" applyFont="1" applyFill="1" applyBorder="1" applyAlignment="1">
      <alignment horizontal="center" vertical="center"/>
    </xf>
    <xf numFmtId="166" fontId="5" fillId="2" borderId="24" xfId="3" applyNumberFormat="1" applyFont="1" applyFill="1" applyBorder="1" applyAlignment="1">
      <alignment horizontal="center" vertical="center"/>
    </xf>
    <xf numFmtId="2" fontId="5" fillId="2" borderId="24" xfId="3" applyNumberFormat="1" applyFont="1" applyFill="1" applyBorder="1" applyAlignment="1">
      <alignment horizontal="center" vertical="center"/>
    </xf>
    <xf numFmtId="167" fontId="5" fillId="2" borderId="24" xfId="3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" fontId="5" fillId="2" borderId="23" xfId="1" quotePrefix="1" applyNumberFormat="1" applyFont="1" applyFill="1" applyBorder="1" applyAlignment="1">
      <alignment horizontal="center" vertical="center"/>
    </xf>
    <xf numFmtId="3" fontId="3" fillId="2" borderId="23" xfId="1" applyNumberFormat="1" applyFont="1" applyFill="1" applyBorder="1" applyAlignment="1">
      <alignment horizontal="center"/>
    </xf>
    <xf numFmtId="3" fontId="3" fillId="2" borderId="28" xfId="1" applyNumberFormat="1" applyFont="1" applyFill="1" applyBorder="1" applyAlignment="1">
      <alignment horizontal="center"/>
    </xf>
    <xf numFmtId="0" fontId="9" fillId="2" borderId="28" xfId="1" applyFont="1" applyFill="1" applyBorder="1" applyAlignment="1">
      <alignment horizontal="left"/>
    </xf>
    <xf numFmtId="0" fontId="7" fillId="2" borderId="23" xfId="1" applyFont="1" applyFill="1" applyBorder="1" applyAlignment="1">
      <alignment vertical="center" wrapText="1"/>
    </xf>
    <xf numFmtId="2" fontId="9" fillId="2" borderId="23" xfId="1" applyNumberFormat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165" fontId="3" fillId="2" borderId="23" xfId="1" applyNumberFormat="1" applyFont="1" applyFill="1" applyBorder="1" applyAlignment="1">
      <alignment horizontal="center"/>
    </xf>
    <xf numFmtId="4" fontId="3" fillId="2" borderId="23" xfId="1" applyNumberFormat="1" applyFont="1" applyFill="1" applyBorder="1" applyAlignment="1">
      <alignment horizontal="center"/>
    </xf>
    <xf numFmtId="4" fontId="5" fillId="2" borderId="0" xfId="1" applyNumberFormat="1" applyFont="1" applyFill="1" applyAlignment="1">
      <alignment horizontal="center"/>
    </xf>
    <xf numFmtId="2" fontId="5" fillId="2" borderId="0" xfId="1" applyNumberFormat="1" applyFont="1" applyFill="1" applyAlignment="1">
      <alignment horizontal="center"/>
    </xf>
    <xf numFmtId="0" fontId="9" fillId="2" borderId="0" xfId="1" applyFont="1" applyFill="1" applyAlignment="1">
      <alignment horizontal="left"/>
    </xf>
    <xf numFmtId="3" fontId="3" fillId="2" borderId="0" xfId="1" applyNumberFormat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4" fontId="9" fillId="2" borderId="0" xfId="1" applyNumberFormat="1" applyFont="1" applyFill="1" applyAlignment="1">
      <alignment horizontal="center"/>
    </xf>
    <xf numFmtId="167" fontId="9" fillId="2" borderId="0" xfId="1" applyNumberFormat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3" fontId="9" fillId="2" borderId="0" xfId="1" applyNumberFormat="1" applyFont="1" applyFill="1" applyAlignment="1">
      <alignment horizontal="center"/>
    </xf>
    <xf numFmtId="2" fontId="7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3" fontId="7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7" fillId="2" borderId="0" xfId="1" quotePrefix="1" applyFont="1" applyFill="1"/>
    <xf numFmtId="3" fontId="7" fillId="2" borderId="0" xfId="1" quotePrefix="1" applyNumberFormat="1" applyFont="1" applyFill="1"/>
    <xf numFmtId="3" fontId="7" fillId="2" borderId="24" xfId="1" quotePrefix="1" applyNumberFormat="1" applyFont="1" applyFill="1" applyBorder="1"/>
    <xf numFmtId="0" fontId="7" fillId="2" borderId="24" xfId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2" fillId="2" borderId="0" xfId="1" applyFill="1"/>
    <xf numFmtId="0" fontId="16" fillId="2" borderId="0" xfId="1" applyFont="1" applyFill="1"/>
    <xf numFmtId="0" fontId="17" fillId="2" borderId="0" xfId="1" applyFont="1" applyFill="1"/>
    <xf numFmtId="0" fontId="18" fillId="2" borderId="0" xfId="1" applyFont="1" applyFill="1"/>
    <xf numFmtId="3" fontId="2" fillId="2" borderId="0" xfId="1" applyNumberFormat="1" applyFill="1"/>
    <xf numFmtId="2" fontId="2" fillId="2" borderId="0" xfId="1" applyNumberFormat="1" applyFill="1"/>
    <xf numFmtId="0" fontId="9" fillId="2" borderId="2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3" fontId="8" fillId="2" borderId="0" xfId="1" applyNumberFormat="1" applyFont="1" applyFill="1" applyAlignment="1">
      <alignment horizontal="center"/>
    </xf>
    <xf numFmtId="2" fontId="19" fillId="2" borderId="24" xfId="4" applyNumberForma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/>
    </xf>
    <xf numFmtId="0" fontId="20" fillId="4" borderId="24" xfId="0" quotePrefix="1" applyFont="1" applyFill="1" applyBorder="1" applyAlignment="1">
      <alignment vertical="center"/>
    </xf>
    <xf numFmtId="0" fontId="21" fillId="0" borderId="24" xfId="0" applyFont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5" fillId="5" borderId="23" xfId="1" quotePrefix="1" applyNumberFormat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/>
    </xf>
    <xf numFmtId="0" fontId="23" fillId="6" borderId="33" xfId="2" applyFont="1" applyFill="1" applyBorder="1" applyAlignment="1">
      <alignment horizontal="center" wrapText="1"/>
    </xf>
    <xf numFmtId="165" fontId="3" fillId="2" borderId="0" xfId="1" applyNumberFormat="1" applyFont="1" applyFill="1" applyAlignment="1">
      <alignment horizontal="center"/>
    </xf>
    <xf numFmtId="12" fontId="8" fillId="2" borderId="24" xfId="1" applyNumberFormat="1" applyFont="1" applyFill="1" applyBorder="1" applyAlignment="1">
      <alignment horizontal="center" vertical="center"/>
    </xf>
    <xf numFmtId="166" fontId="5" fillId="2" borderId="24" xfId="3" applyNumberFormat="1" applyFont="1" applyFill="1" applyBorder="1" applyAlignment="1">
      <alignment horizontal="left" vertical="center"/>
    </xf>
    <xf numFmtId="2" fontId="5" fillId="2" borderId="23" xfId="3" applyNumberFormat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2" fontId="0" fillId="0" borderId="0" xfId="0" applyNumberFormat="1"/>
    <xf numFmtId="2" fontId="26" fillId="2" borderId="23" xfId="1" applyNumberFormat="1" applyFont="1" applyFill="1" applyBorder="1" applyAlignment="1">
      <alignment vertical="center"/>
    </xf>
    <xf numFmtId="0" fontId="27" fillId="7" borderId="24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/>
    </xf>
    <xf numFmtId="0" fontId="0" fillId="0" borderId="24" xfId="0" applyBorder="1"/>
    <xf numFmtId="0" fontId="25" fillId="0" borderId="24" xfId="0" applyFont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2" fontId="5" fillId="2" borderId="23" xfId="3" applyNumberFormat="1" applyFont="1" applyFill="1" applyBorder="1" applyAlignment="1">
      <alignment vertical="center"/>
    </xf>
    <xf numFmtId="2" fontId="3" fillId="2" borderId="23" xfId="1" applyNumberFormat="1" applyFont="1" applyFill="1" applyBorder="1" applyAlignment="1">
      <alignment horizontal="center"/>
    </xf>
    <xf numFmtId="3" fontId="7" fillId="2" borderId="24" xfId="1" quotePrefix="1" applyNumberFormat="1" applyFont="1" applyFill="1" applyBorder="1" applyAlignment="1">
      <alignment horizontal="center" vertical="center"/>
    </xf>
    <xf numFmtId="0" fontId="29" fillId="2" borderId="0" xfId="1" applyFont="1" applyFill="1"/>
    <xf numFmtId="0" fontId="22" fillId="0" borderId="24" xfId="5" applyBorder="1" applyAlignment="1">
      <alignment horizontal="center" vertical="center"/>
    </xf>
    <xf numFmtId="166" fontId="30" fillId="5" borderId="0" xfId="1" applyNumberFormat="1" applyFont="1" applyFill="1" applyAlignment="1">
      <alignment horizontal="center" vertical="center"/>
    </xf>
    <xf numFmtId="3" fontId="5" fillId="2" borderId="0" xfId="1" applyNumberFormat="1" applyFont="1" applyFill="1"/>
    <xf numFmtId="0" fontId="8" fillId="5" borderId="0" xfId="1" applyFont="1" applyFill="1" applyAlignment="1">
      <alignment horizontal="left"/>
    </xf>
    <xf numFmtId="2" fontId="26" fillId="7" borderId="23" xfId="1" applyNumberFormat="1" applyFont="1" applyFill="1" applyBorder="1" applyAlignment="1">
      <alignment vertical="center"/>
    </xf>
    <xf numFmtId="3" fontId="31" fillId="2" borderId="23" xfId="1" applyNumberFormat="1" applyFont="1" applyFill="1" applyBorder="1" applyAlignment="1">
      <alignment horizontal="center" vertical="center"/>
    </xf>
    <xf numFmtId="2" fontId="32" fillId="2" borderId="23" xfId="1" applyNumberFormat="1" applyFont="1" applyFill="1" applyBorder="1" applyAlignment="1">
      <alignment vertical="center"/>
    </xf>
    <xf numFmtId="0" fontId="9" fillId="2" borderId="2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4" fontId="3" fillId="2" borderId="0" xfId="1" applyNumberFormat="1" applyFont="1" applyFill="1" applyAlignment="1">
      <alignment horizontal="center"/>
    </xf>
    <xf numFmtId="2" fontId="33" fillId="2" borderId="24" xfId="4" applyNumberFormat="1" applyFont="1" applyFill="1" applyBorder="1" applyAlignment="1">
      <alignment horizontal="center" vertical="center" wrapText="1"/>
    </xf>
    <xf numFmtId="3" fontId="31" fillId="2" borderId="29" xfId="1" applyNumberFormat="1" applyFont="1" applyFill="1" applyBorder="1" applyAlignment="1">
      <alignment horizontal="center" vertical="center"/>
    </xf>
    <xf numFmtId="2" fontId="32" fillId="2" borderId="24" xfId="3" applyNumberFormat="1" applyFont="1" applyFill="1" applyBorder="1" applyAlignment="1">
      <alignment horizontal="center" vertical="center"/>
    </xf>
    <xf numFmtId="0" fontId="34" fillId="0" borderId="24" xfId="5" applyFont="1" applyBorder="1" applyAlignment="1">
      <alignment horizontal="center" vertical="center"/>
    </xf>
    <xf numFmtId="2" fontId="26" fillId="0" borderId="23" xfId="1" applyNumberFormat="1" applyFont="1" applyBorder="1" applyAlignment="1">
      <alignment vertical="center"/>
    </xf>
    <xf numFmtId="2" fontId="5" fillId="0" borderId="23" xfId="3" applyNumberFormat="1" applyFont="1" applyFill="1" applyBorder="1" applyAlignment="1">
      <alignment vertical="center"/>
    </xf>
    <xf numFmtId="2" fontId="5" fillId="0" borderId="23" xfId="3" applyNumberFormat="1" applyFont="1" applyFill="1" applyBorder="1" applyAlignment="1">
      <alignment horizontal="center" vertical="center"/>
    </xf>
    <xf numFmtId="0" fontId="36" fillId="2" borderId="0" xfId="1" applyFont="1" applyFill="1" applyAlignment="1">
      <alignment horizontal="left"/>
    </xf>
    <xf numFmtId="0" fontId="35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25" fillId="8" borderId="24" xfId="0" applyNumberFormat="1" applyFont="1" applyFill="1" applyBorder="1" applyAlignment="1">
      <alignment horizontal="center" vertical="center"/>
    </xf>
    <xf numFmtId="2" fontId="38" fillId="9" borderId="2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" fontId="0" fillId="0" borderId="24" xfId="0" quotePrefix="1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1" fontId="0" fillId="7" borderId="24" xfId="0" applyNumberFormat="1" applyFill="1" applyBorder="1" applyAlignment="1">
      <alignment horizontal="center" vertical="center"/>
    </xf>
    <xf numFmtId="1" fontId="25" fillId="8" borderId="24" xfId="0" applyNumberFormat="1" applyFont="1" applyFill="1" applyBorder="1" applyAlignment="1">
      <alignment horizontal="center" vertical="center"/>
    </xf>
    <xf numFmtId="1" fontId="38" fillId="9" borderId="24" xfId="0" applyNumberFormat="1" applyFont="1" applyFill="1" applyBorder="1" applyAlignment="1">
      <alignment horizontal="center" vertical="center"/>
    </xf>
    <xf numFmtId="3" fontId="36" fillId="2" borderId="0" xfId="1" applyNumberFormat="1" applyFont="1" applyFill="1" applyAlignment="1">
      <alignment horizontal="left" vertical="top" wrapText="1"/>
    </xf>
    <xf numFmtId="0" fontId="26" fillId="2" borderId="0" xfId="1" applyFont="1" applyFill="1" applyAlignment="1">
      <alignment horizontal="left"/>
    </xf>
    <xf numFmtId="0" fontId="5" fillId="2" borderId="24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vertical="center" wrapText="1"/>
    </xf>
    <xf numFmtId="0" fontId="39" fillId="5" borderId="0" xfId="1" applyFont="1" applyFill="1" applyAlignment="1">
      <alignment horizontal="center" vertical="center"/>
    </xf>
    <xf numFmtId="4" fontId="2" fillId="2" borderId="0" xfId="1" applyNumberFormat="1" applyFill="1"/>
    <xf numFmtId="3" fontId="30" fillId="2" borderId="23" xfId="1" applyNumberFormat="1" applyFont="1" applyFill="1" applyBorder="1" applyAlignment="1">
      <alignment horizontal="center" vertical="center"/>
    </xf>
    <xf numFmtId="0" fontId="2" fillId="0" borderId="0" xfId="1"/>
    <xf numFmtId="0" fontId="16" fillId="0" borderId="0" xfId="1" applyFont="1"/>
    <xf numFmtId="3" fontId="40" fillId="0" borderId="0" xfId="1" applyNumberFormat="1" applyFont="1"/>
    <xf numFmtId="4" fontId="40" fillId="0" borderId="0" xfId="1" applyNumberFormat="1" applyFont="1"/>
    <xf numFmtId="0" fontId="43" fillId="0" borderId="0" xfId="8" applyFont="1" applyAlignment="1">
      <alignment horizontal="center" vertical="center"/>
    </xf>
    <xf numFmtId="0" fontId="24" fillId="0" borderId="0" xfId="8" applyFont="1"/>
    <xf numFmtId="0" fontId="43" fillId="0" borderId="0" xfId="0" quotePrefix="1" applyFont="1" applyAlignment="1">
      <alignment wrapText="1"/>
    </xf>
    <xf numFmtId="0" fontId="24" fillId="0" borderId="0" xfId="8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4" fillId="0" borderId="0" xfId="8" applyFont="1"/>
    <xf numFmtId="0" fontId="43" fillId="0" borderId="0" xfId="8" applyFont="1" applyAlignment="1">
      <alignment horizontal="center"/>
    </xf>
    <xf numFmtId="0" fontId="43" fillId="0" borderId="0" xfId="8" applyFont="1"/>
    <xf numFmtId="0" fontId="45" fillId="0" borderId="0" xfId="8" applyFont="1"/>
    <xf numFmtId="0" fontId="46" fillId="0" borderId="0" xfId="8" applyFont="1"/>
    <xf numFmtId="0" fontId="43" fillId="0" borderId="0" xfId="0" applyFont="1" applyAlignment="1">
      <alignment vertical="center"/>
    </xf>
    <xf numFmtId="0" fontId="47" fillId="0" borderId="0" xfId="8" applyFont="1"/>
    <xf numFmtId="0" fontId="44" fillId="2" borderId="14" xfId="8" applyFont="1" applyFill="1" applyBorder="1" applyAlignment="1">
      <alignment vertical="center" wrapText="1"/>
    </xf>
    <xf numFmtId="0" fontId="47" fillId="0" borderId="34" xfId="8" applyFont="1" applyBorder="1" applyAlignment="1">
      <alignment vertical="center" wrapText="1"/>
    </xf>
    <xf numFmtId="0" fontId="44" fillId="2" borderId="11" xfId="8" applyFont="1" applyFill="1" applyBorder="1" applyAlignment="1">
      <alignment vertical="center" wrapText="1"/>
    </xf>
    <xf numFmtId="0" fontId="47" fillId="0" borderId="38" xfId="8" applyFont="1" applyBorder="1" applyAlignment="1">
      <alignment vertical="center" wrapText="1"/>
    </xf>
    <xf numFmtId="0" fontId="43" fillId="0" borderId="14" xfId="8" applyFont="1" applyBorder="1" applyAlignment="1">
      <alignment horizontal="center" vertical="center" wrapText="1"/>
    </xf>
    <xf numFmtId="0" fontId="44" fillId="2" borderId="14" xfId="8" applyFont="1" applyFill="1" applyBorder="1" applyAlignment="1">
      <alignment horizontal="center" vertical="center" wrapText="1"/>
    </xf>
    <xf numFmtId="0" fontId="43" fillId="0" borderId="32" xfId="8" applyFont="1" applyBorder="1" applyAlignment="1">
      <alignment horizontal="center" vertical="center" wrapText="1"/>
    </xf>
    <xf numFmtId="0" fontId="43" fillId="0" borderId="25" xfId="8" applyFont="1" applyBorder="1" applyAlignment="1">
      <alignment horizontal="center" vertical="center" wrapText="1"/>
    </xf>
    <xf numFmtId="0" fontId="47" fillId="0" borderId="27" xfId="8" applyFont="1" applyBorder="1" applyAlignment="1">
      <alignment vertical="center" wrapText="1"/>
    </xf>
    <xf numFmtId="0" fontId="41" fillId="0" borderId="0" xfId="0" applyFont="1"/>
    <xf numFmtId="0" fontId="48" fillId="0" borderId="14" xfId="8" applyFont="1" applyBorder="1" applyAlignment="1">
      <alignment horizontal="center" vertical="center" wrapText="1"/>
    </xf>
    <xf numFmtId="0" fontId="46" fillId="0" borderId="14" xfId="0" quotePrefix="1" applyFont="1" applyBorder="1" applyAlignment="1">
      <alignment horizontal="center" vertical="center" wrapText="1"/>
    </xf>
    <xf numFmtId="0" fontId="48" fillId="2" borderId="14" xfId="8" applyFont="1" applyFill="1" applyBorder="1" applyAlignment="1">
      <alignment horizontal="center" vertical="center" wrapText="1"/>
    </xf>
    <xf numFmtId="0" fontId="48" fillId="2" borderId="24" xfId="8" applyFont="1" applyFill="1" applyBorder="1" applyAlignment="1">
      <alignment horizontal="center" vertical="center" wrapText="1"/>
    </xf>
    <xf numFmtId="0" fontId="46" fillId="0" borderId="24" xfId="8" applyFont="1" applyBorder="1" applyAlignment="1">
      <alignment horizontal="center" vertical="center" wrapText="1"/>
    </xf>
    <xf numFmtId="3" fontId="46" fillId="0" borderId="24" xfId="8" applyNumberFormat="1" applyFont="1" applyBorder="1" applyAlignment="1">
      <alignment horizontal="center" vertical="center" wrapText="1"/>
    </xf>
    <xf numFmtId="0" fontId="46" fillId="2" borderId="11" xfId="8" applyFont="1" applyFill="1" applyBorder="1" applyAlignment="1">
      <alignment horizontal="center" vertical="center" wrapText="1"/>
    </xf>
    <xf numFmtId="0" fontId="48" fillId="0" borderId="24" xfId="8" applyFont="1" applyBorder="1" applyAlignment="1">
      <alignment horizontal="center" vertical="center" wrapText="1"/>
    </xf>
    <xf numFmtId="0" fontId="49" fillId="0" borderId="0" xfId="0" applyFont="1"/>
    <xf numFmtId="0" fontId="48" fillId="0" borderId="11" xfId="8" applyFont="1" applyBorder="1" applyAlignment="1">
      <alignment horizontal="center" vertical="center" wrapText="1"/>
    </xf>
    <xf numFmtId="0" fontId="48" fillId="2" borderId="23" xfId="8" applyFont="1" applyFill="1" applyBorder="1" applyAlignment="1">
      <alignment horizontal="center" vertical="center" wrapText="1"/>
    </xf>
    <xf numFmtId="0" fontId="46" fillId="0" borderId="23" xfId="8" applyFont="1" applyBorder="1" applyAlignment="1">
      <alignment horizontal="center" vertical="center" wrapText="1"/>
    </xf>
    <xf numFmtId="0" fontId="51" fillId="3" borderId="24" xfId="9" applyFont="1" applyFill="1" applyBorder="1" applyAlignment="1">
      <alignment vertical="center" wrapText="1"/>
    </xf>
    <xf numFmtId="0" fontId="48" fillId="0" borderId="23" xfId="8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3" fontId="48" fillId="10" borderId="23" xfId="0" applyNumberFormat="1" applyFont="1" applyFill="1" applyBorder="1" applyAlignment="1">
      <alignment horizontal="center" vertical="center"/>
    </xf>
    <xf numFmtId="3" fontId="48" fillId="10" borderId="24" xfId="0" applyNumberFormat="1" applyFont="1" applyFill="1" applyBorder="1" applyAlignment="1">
      <alignment horizontal="center" vertical="center"/>
    </xf>
    <xf numFmtId="0" fontId="52" fillId="3" borderId="0" xfId="9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 shrinkToFit="1"/>
    </xf>
    <xf numFmtId="0" fontId="54" fillId="3" borderId="0" xfId="8" applyFont="1" applyFill="1" applyAlignment="1">
      <alignment vertical="center" wrapText="1"/>
    </xf>
    <xf numFmtId="0" fontId="55" fillId="3" borderId="0" xfId="8" applyFont="1" applyFill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57" fillId="0" borderId="24" xfId="0" applyFont="1" applyBorder="1" applyAlignment="1">
      <alignment horizontal="center" vertical="center"/>
    </xf>
    <xf numFmtId="0" fontId="58" fillId="0" borderId="0" xfId="0" applyFont="1"/>
    <xf numFmtId="0" fontId="58" fillId="0" borderId="0" xfId="0" applyFont="1" applyAlignment="1">
      <alignment horizontal="right"/>
    </xf>
    <xf numFmtId="0" fontId="59" fillId="2" borderId="24" xfId="8" applyFont="1" applyFill="1" applyBorder="1" applyAlignment="1">
      <alignment horizontal="center" vertical="center"/>
    </xf>
    <xf numFmtId="0" fontId="59" fillId="0" borderId="24" xfId="8" applyFont="1" applyBorder="1" applyAlignment="1">
      <alignment horizontal="center" vertical="center"/>
    </xf>
    <xf numFmtId="0" fontId="59" fillId="0" borderId="24" xfId="8" quotePrefix="1" applyFont="1" applyBorder="1" applyAlignment="1">
      <alignment horizontal="center" vertical="center"/>
    </xf>
    <xf numFmtId="0" fontId="59" fillId="0" borderId="23" xfId="8" quotePrefix="1" applyFont="1" applyBorder="1" applyAlignment="1">
      <alignment horizontal="center" vertical="center"/>
    </xf>
    <xf numFmtId="0" fontId="57" fillId="0" borderId="24" xfId="8" quotePrefix="1" applyFont="1" applyBorder="1" applyAlignment="1">
      <alignment horizontal="center" vertical="center"/>
    </xf>
    <xf numFmtId="0" fontId="60" fillId="0" borderId="24" xfId="8" applyFont="1" applyBorder="1" applyAlignment="1">
      <alignment horizontal="center" vertical="center"/>
    </xf>
    <xf numFmtId="0" fontId="60" fillId="2" borderId="24" xfId="8" applyFont="1" applyFill="1" applyBorder="1" applyAlignment="1">
      <alignment horizontal="center" vertical="center"/>
    </xf>
    <xf numFmtId="3" fontId="13" fillId="0" borderId="23" xfId="2" applyNumberFormat="1" applyFont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3" fontId="11" fillId="2" borderId="14" xfId="2" applyNumberFormat="1" applyFont="1" applyFill="1" applyBorder="1" applyAlignment="1">
      <alignment horizontal="center" vertical="center"/>
    </xf>
    <xf numFmtId="3" fontId="11" fillId="2" borderId="23" xfId="2" applyNumberFormat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3" fontId="11" fillId="2" borderId="8" xfId="2" applyNumberFormat="1" applyFont="1" applyFill="1" applyBorder="1" applyAlignment="1">
      <alignment horizontal="center" vertical="center"/>
    </xf>
    <xf numFmtId="3" fontId="11" fillId="2" borderId="22" xfId="2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3" fontId="8" fillId="2" borderId="0" xfId="1" applyNumberFormat="1" applyFont="1" applyFill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3" fontId="11" fillId="2" borderId="24" xfId="2" applyNumberFormat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 wrapText="1"/>
    </xf>
    <xf numFmtId="3" fontId="8" fillId="2" borderId="0" xfId="1" applyNumberFormat="1" applyFont="1" applyFill="1" applyAlignment="1">
      <alignment horizontal="left" vertical="top" wrapText="1"/>
    </xf>
    <xf numFmtId="0" fontId="38" fillId="9" borderId="24" xfId="0" applyFont="1" applyFill="1" applyBorder="1" applyAlignment="1">
      <alignment horizontal="center" vertical="center"/>
    </xf>
    <xf numFmtId="16" fontId="0" fillId="0" borderId="24" xfId="0" quotePrefix="1" applyNumberFormat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6" fontId="0" fillId="0" borderId="14" xfId="0" quotePrefix="1" applyNumberFormat="1" applyBorder="1" applyAlignment="1">
      <alignment horizontal="center" vertical="center"/>
    </xf>
    <xf numFmtId="16" fontId="0" fillId="0" borderId="23" xfId="0" quotePrefix="1" applyNumberFormat="1" applyBorder="1" applyAlignment="1">
      <alignment horizontal="center" vertical="center"/>
    </xf>
    <xf numFmtId="0" fontId="59" fillId="0" borderId="14" xfId="8" quotePrefix="1" applyFont="1" applyBorder="1" applyAlignment="1">
      <alignment horizontal="center" vertical="center"/>
    </xf>
    <xf numFmtId="0" fontId="59" fillId="0" borderId="23" xfId="8" quotePrefix="1" applyFont="1" applyBorder="1" applyAlignment="1">
      <alignment horizontal="center" vertical="center"/>
    </xf>
    <xf numFmtId="0" fontId="59" fillId="2" borderId="14" xfId="8" applyFont="1" applyFill="1" applyBorder="1" applyAlignment="1">
      <alignment horizontal="center" vertical="center"/>
    </xf>
    <xf numFmtId="0" fontId="59" fillId="2" borderId="23" xfId="8" applyFont="1" applyFill="1" applyBorder="1" applyAlignment="1">
      <alignment horizontal="center" vertical="center"/>
    </xf>
    <xf numFmtId="0" fontId="59" fillId="0" borderId="11" xfId="8" quotePrefix="1" applyFont="1" applyBorder="1" applyAlignment="1">
      <alignment horizontal="center" vertical="center"/>
    </xf>
    <xf numFmtId="0" fontId="59" fillId="2" borderId="11" xfId="8" applyFont="1" applyFill="1" applyBorder="1" applyAlignment="1">
      <alignment horizontal="center" vertical="center"/>
    </xf>
    <xf numFmtId="0" fontId="43" fillId="0" borderId="14" xfId="8" applyFont="1" applyBorder="1" applyAlignment="1">
      <alignment horizontal="center" vertical="center" wrapText="1"/>
    </xf>
    <xf numFmtId="0" fontId="43" fillId="0" borderId="11" xfId="8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8" fillId="10" borderId="24" xfId="8" applyFont="1" applyFill="1" applyBorder="1" applyAlignment="1">
      <alignment horizontal="center"/>
    </xf>
    <xf numFmtId="0" fontId="48" fillId="10" borderId="23" xfId="8" applyFont="1" applyFill="1" applyBorder="1" applyAlignment="1">
      <alignment horizontal="center"/>
    </xf>
    <xf numFmtId="167" fontId="57" fillId="0" borderId="24" xfId="8" applyNumberFormat="1" applyFont="1" applyBorder="1" applyAlignment="1">
      <alignment horizontal="center" vertical="center"/>
    </xf>
    <xf numFmtId="0" fontId="57" fillId="0" borderId="24" xfId="8" applyFont="1" applyBorder="1" applyAlignment="1">
      <alignment horizontal="center" vertical="center"/>
    </xf>
    <xf numFmtId="0" fontId="59" fillId="0" borderId="14" xfId="8" applyFont="1" applyBorder="1" applyAlignment="1">
      <alignment horizontal="center" vertical="center"/>
    </xf>
    <xf numFmtId="0" fontId="59" fillId="0" borderId="23" xfId="8" applyFont="1" applyBorder="1" applyAlignment="1">
      <alignment horizontal="center" vertical="center"/>
    </xf>
    <xf numFmtId="0" fontId="43" fillId="0" borderId="24" xfId="8" applyFont="1" applyBorder="1" applyAlignment="1">
      <alignment horizontal="center" vertical="center" wrapText="1"/>
    </xf>
    <xf numFmtId="0" fontId="44" fillId="0" borderId="14" xfId="8" applyFont="1" applyBorder="1" applyAlignment="1">
      <alignment horizontal="center" vertical="center" wrapText="1"/>
    </xf>
    <xf numFmtId="0" fontId="44" fillId="0" borderId="11" xfId="8" applyFont="1" applyBorder="1" applyAlignment="1">
      <alignment horizontal="center" vertical="center"/>
    </xf>
    <xf numFmtId="0" fontId="43" fillId="0" borderId="34" xfId="8" applyFont="1" applyBorder="1" applyAlignment="1">
      <alignment horizontal="center" vertical="center" wrapText="1"/>
    </xf>
    <xf numFmtId="0" fontId="43" fillId="0" borderId="38" xfId="8" applyFont="1" applyBorder="1" applyAlignment="1">
      <alignment horizontal="center" vertical="center" wrapText="1"/>
    </xf>
    <xf numFmtId="0" fontId="45" fillId="0" borderId="14" xfId="8" applyFont="1" applyBorder="1" applyAlignment="1">
      <alignment horizontal="center" vertical="center" wrapText="1"/>
    </xf>
    <xf numFmtId="0" fontId="45" fillId="0" borderId="11" xfId="8" applyFont="1" applyBorder="1" applyAlignment="1">
      <alignment horizontal="center" vertical="center" wrapText="1"/>
    </xf>
    <xf numFmtId="0" fontId="45" fillId="2" borderId="14" xfId="8" applyFont="1" applyFill="1" applyBorder="1" applyAlignment="1">
      <alignment horizontal="center" vertical="center" wrapText="1"/>
    </xf>
    <xf numFmtId="0" fontId="45" fillId="2" borderId="11" xfId="8" applyFont="1" applyFill="1" applyBorder="1" applyAlignment="1">
      <alignment horizontal="center" vertical="center" wrapText="1"/>
    </xf>
    <xf numFmtId="3" fontId="36" fillId="2" borderId="0" xfId="1" applyNumberFormat="1" applyFont="1" applyFill="1" applyAlignment="1">
      <alignment horizontal="left" vertical="top" wrapText="1"/>
    </xf>
    <xf numFmtId="2" fontId="26" fillId="2" borderId="5" xfId="3" applyNumberFormat="1" applyFont="1" applyFill="1" applyBorder="1" applyAlignment="1">
      <alignment horizontal="center" vertical="center"/>
    </xf>
    <xf numFmtId="2" fontId="26" fillId="2" borderId="23" xfId="3" applyNumberFormat="1" applyFont="1" applyFill="1" applyBorder="1" applyAlignment="1">
      <alignment horizontal="center" vertical="center"/>
    </xf>
    <xf numFmtId="0" fontId="22" fillId="0" borderId="5" xfId="5" applyBorder="1" applyAlignment="1">
      <alignment horizontal="center" vertical="center"/>
    </xf>
    <xf numFmtId="0" fontId="22" fillId="0" borderId="23" xfId="5" applyBorder="1" applyAlignment="1">
      <alignment horizontal="center" vertical="center"/>
    </xf>
    <xf numFmtId="2" fontId="26" fillId="2" borderId="5" xfId="1" applyNumberFormat="1" applyFont="1" applyFill="1" applyBorder="1" applyAlignment="1">
      <alignment horizontal="center" vertical="center"/>
    </xf>
    <xf numFmtId="2" fontId="26" fillId="2" borderId="23" xfId="1" applyNumberFormat="1" applyFont="1" applyFill="1" applyBorder="1" applyAlignment="1">
      <alignment horizontal="center" vertical="center"/>
    </xf>
    <xf numFmtId="2" fontId="5" fillId="2" borderId="5" xfId="3" applyNumberFormat="1" applyFont="1" applyFill="1" applyBorder="1" applyAlignment="1">
      <alignment horizontal="center" vertical="center"/>
    </xf>
    <xf numFmtId="2" fontId="5" fillId="2" borderId="23" xfId="3" applyNumberFormat="1" applyFont="1" applyFill="1" applyBorder="1" applyAlignment="1">
      <alignment horizontal="center" vertical="center"/>
    </xf>
    <xf numFmtId="2" fontId="19" fillId="2" borderId="5" xfId="4" applyNumberFormat="1" applyFill="1" applyBorder="1" applyAlignment="1">
      <alignment horizontal="center" vertical="center" wrapText="1"/>
    </xf>
    <xf numFmtId="2" fontId="19" fillId="2" borderId="23" xfId="4" applyNumberFormat="1" applyFill="1" applyBorder="1" applyAlignment="1">
      <alignment horizontal="center" vertical="center" wrapText="1"/>
    </xf>
    <xf numFmtId="3" fontId="5" fillId="2" borderId="5" xfId="1" quotePrefix="1" applyNumberFormat="1" applyFont="1" applyFill="1" applyBorder="1" applyAlignment="1">
      <alignment horizontal="center" vertical="center"/>
    </xf>
    <xf numFmtId="3" fontId="5" fillId="2" borderId="23" xfId="1" quotePrefix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2" borderId="23" xfId="1" applyNumberFormat="1" applyFont="1" applyFill="1" applyBorder="1" applyAlignment="1">
      <alignment horizontal="center" vertical="center"/>
    </xf>
    <xf numFmtId="3" fontId="11" fillId="2" borderId="8" xfId="2" quotePrefix="1" applyNumberFormat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wrapText="1"/>
    </xf>
    <xf numFmtId="0" fontId="9" fillId="2" borderId="36" xfId="1" applyFont="1" applyFill="1" applyBorder="1" applyAlignment="1">
      <alignment horizontal="center" wrapText="1"/>
    </xf>
    <xf numFmtId="0" fontId="9" fillId="2" borderId="37" xfId="1" applyFont="1" applyFill="1" applyBorder="1" applyAlignment="1">
      <alignment horizontal="center" wrapText="1"/>
    </xf>
    <xf numFmtId="3" fontId="11" fillId="2" borderId="16" xfId="2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3" fontId="7" fillId="2" borderId="0" xfId="1" applyNumberFormat="1" applyFont="1" applyFill="1" applyAlignment="1">
      <alignment horizontal="left" wrapText="1"/>
    </xf>
    <xf numFmtId="0" fontId="8" fillId="2" borderId="34" xfId="1" applyFont="1" applyFill="1" applyBorder="1" applyAlignment="1">
      <alignment horizontal="center"/>
    </xf>
  </cellXfs>
  <cellStyles count="10">
    <cellStyle name="Comma 2" xfId="3"/>
    <cellStyle name="Normal" xfId="0" builtinId="0"/>
    <cellStyle name="Normal 2" xfId="7"/>
    <cellStyle name="Normal 2 2" xfId="2"/>
    <cellStyle name="Normal 3" xfId="1"/>
    <cellStyle name="Normal 7 2" xfId="5"/>
    <cellStyle name="Normal_KHSX-W.Wise '03" xfId="8"/>
    <cellStyle name="Normal_Mau xuat kho han muc" xfId="9"/>
    <cellStyle name="常规_02USCY21601-1" xfId="6"/>
    <cellStyle name="常规_shipping documents S0818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AH38"/>
  <sheetViews>
    <sheetView view="pageBreakPreview" zoomScale="73" zoomScaleNormal="85" zoomScaleSheetLayoutView="73" workbookViewId="0">
      <pane xSplit="8" ySplit="15" topLeftCell="I16" activePane="bottomRight" state="frozen"/>
      <selection pane="topRight" activeCell="H1" sqref="H1"/>
      <selection pane="bottomLeft" activeCell="A13" sqref="A13"/>
      <selection pane="bottomRight" activeCell="E25" sqref="E25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18" style="73" customWidth="1"/>
    <col min="6" max="6" width="21.42578125" style="73" customWidth="1"/>
    <col min="7" max="7" width="22.5703125" style="73" customWidth="1"/>
    <col min="8" max="8" width="12.5703125" style="73" customWidth="1"/>
    <col min="9" max="14" width="7" style="73" customWidth="1"/>
    <col min="15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8.85546875" style="73" customWidth="1"/>
    <col min="24" max="25" width="11.28515625" style="73" customWidth="1"/>
    <col min="26" max="26" width="9.140625" style="73" customWidth="1"/>
    <col min="27" max="27" width="22.7109375" style="73" customWidth="1"/>
    <col min="28" max="254" width="9.140625" style="73"/>
    <col min="255" max="255" width="6.85546875" style="73" customWidth="1"/>
    <col min="256" max="256" width="2.140625" style="73" customWidth="1"/>
    <col min="257" max="257" width="6.140625" style="73" customWidth="1"/>
    <col min="258" max="258" width="8.85546875" style="73" customWidth="1"/>
    <col min="259" max="259" width="28.42578125" style="73" customWidth="1"/>
    <col min="260" max="260" width="13.85546875" style="73" customWidth="1"/>
    <col min="261" max="261" width="8.42578125" style="73" customWidth="1"/>
    <col min="262" max="265" width="0" style="73" hidden="1" customWidth="1"/>
    <col min="266" max="266" width="5.28515625" style="73" customWidth="1"/>
    <col min="267" max="267" width="5.5703125" style="73" customWidth="1"/>
    <col min="268" max="268" width="6" style="73" customWidth="1"/>
    <col min="269" max="269" width="5.5703125" style="73" customWidth="1"/>
    <col min="270" max="271" width="5.7109375" style="73" customWidth="1"/>
    <col min="272" max="272" width="9.85546875" style="73" customWidth="1"/>
    <col min="273" max="273" width="9.7109375" style="73" customWidth="1"/>
    <col min="274" max="274" width="8.85546875" style="73" customWidth="1"/>
    <col min="275" max="275" width="10" style="73" customWidth="1"/>
    <col min="276" max="276" width="8.28515625" style="73" customWidth="1"/>
    <col min="277" max="277" width="9.5703125" style="73" customWidth="1"/>
    <col min="278" max="278" width="15.5703125" style="73" customWidth="1"/>
    <col min="279" max="510" width="9.140625" style="73"/>
    <col min="511" max="511" width="6.85546875" style="73" customWidth="1"/>
    <col min="512" max="512" width="2.140625" style="73" customWidth="1"/>
    <col min="513" max="513" width="6.140625" style="73" customWidth="1"/>
    <col min="514" max="514" width="8.85546875" style="73" customWidth="1"/>
    <col min="515" max="515" width="28.42578125" style="73" customWidth="1"/>
    <col min="516" max="516" width="13.85546875" style="73" customWidth="1"/>
    <col min="517" max="517" width="8.42578125" style="73" customWidth="1"/>
    <col min="518" max="521" width="0" style="73" hidden="1" customWidth="1"/>
    <col min="522" max="522" width="5.28515625" style="73" customWidth="1"/>
    <col min="523" max="523" width="5.5703125" style="73" customWidth="1"/>
    <col min="524" max="524" width="6" style="73" customWidth="1"/>
    <col min="525" max="525" width="5.5703125" style="73" customWidth="1"/>
    <col min="526" max="527" width="5.7109375" style="73" customWidth="1"/>
    <col min="528" max="528" width="9.85546875" style="73" customWidth="1"/>
    <col min="529" max="529" width="9.7109375" style="73" customWidth="1"/>
    <col min="530" max="530" width="8.85546875" style="73" customWidth="1"/>
    <col min="531" max="531" width="10" style="73" customWidth="1"/>
    <col min="532" max="532" width="8.28515625" style="73" customWidth="1"/>
    <col min="533" max="533" width="9.5703125" style="73" customWidth="1"/>
    <col min="534" max="534" width="15.5703125" style="73" customWidth="1"/>
    <col min="535" max="766" width="9.140625" style="73"/>
    <col min="767" max="767" width="6.85546875" style="73" customWidth="1"/>
    <col min="768" max="768" width="2.140625" style="73" customWidth="1"/>
    <col min="769" max="769" width="6.140625" style="73" customWidth="1"/>
    <col min="770" max="770" width="8.85546875" style="73" customWidth="1"/>
    <col min="771" max="771" width="28.42578125" style="73" customWidth="1"/>
    <col min="772" max="772" width="13.85546875" style="73" customWidth="1"/>
    <col min="773" max="773" width="8.42578125" style="73" customWidth="1"/>
    <col min="774" max="777" width="0" style="73" hidden="1" customWidth="1"/>
    <col min="778" max="778" width="5.28515625" style="73" customWidth="1"/>
    <col min="779" max="779" width="5.5703125" style="73" customWidth="1"/>
    <col min="780" max="780" width="6" style="73" customWidth="1"/>
    <col min="781" max="781" width="5.5703125" style="73" customWidth="1"/>
    <col min="782" max="783" width="5.7109375" style="73" customWidth="1"/>
    <col min="784" max="784" width="9.85546875" style="73" customWidth="1"/>
    <col min="785" max="785" width="9.7109375" style="73" customWidth="1"/>
    <col min="786" max="786" width="8.85546875" style="73" customWidth="1"/>
    <col min="787" max="787" width="10" style="73" customWidth="1"/>
    <col min="788" max="788" width="8.28515625" style="73" customWidth="1"/>
    <col min="789" max="789" width="9.5703125" style="73" customWidth="1"/>
    <col min="790" max="790" width="15.5703125" style="73" customWidth="1"/>
    <col min="791" max="1022" width="9.140625" style="73"/>
    <col min="1023" max="1023" width="6.85546875" style="73" customWidth="1"/>
    <col min="1024" max="1024" width="2.140625" style="73" customWidth="1"/>
    <col min="1025" max="1025" width="6.140625" style="73" customWidth="1"/>
    <col min="1026" max="1026" width="8.85546875" style="73" customWidth="1"/>
    <col min="1027" max="1027" width="28.42578125" style="73" customWidth="1"/>
    <col min="1028" max="1028" width="13.85546875" style="73" customWidth="1"/>
    <col min="1029" max="1029" width="8.42578125" style="73" customWidth="1"/>
    <col min="1030" max="1033" width="0" style="73" hidden="1" customWidth="1"/>
    <col min="1034" max="1034" width="5.28515625" style="73" customWidth="1"/>
    <col min="1035" max="1035" width="5.5703125" style="73" customWidth="1"/>
    <col min="1036" max="1036" width="6" style="73" customWidth="1"/>
    <col min="1037" max="1037" width="5.5703125" style="73" customWidth="1"/>
    <col min="1038" max="1039" width="5.7109375" style="73" customWidth="1"/>
    <col min="1040" max="1040" width="9.85546875" style="73" customWidth="1"/>
    <col min="1041" max="1041" width="9.7109375" style="73" customWidth="1"/>
    <col min="1042" max="1042" width="8.85546875" style="73" customWidth="1"/>
    <col min="1043" max="1043" width="10" style="73" customWidth="1"/>
    <col min="1044" max="1044" width="8.28515625" style="73" customWidth="1"/>
    <col min="1045" max="1045" width="9.5703125" style="73" customWidth="1"/>
    <col min="1046" max="1046" width="15.5703125" style="73" customWidth="1"/>
    <col min="1047" max="1278" width="9.140625" style="73"/>
    <col min="1279" max="1279" width="6.85546875" style="73" customWidth="1"/>
    <col min="1280" max="1280" width="2.140625" style="73" customWidth="1"/>
    <col min="1281" max="1281" width="6.140625" style="73" customWidth="1"/>
    <col min="1282" max="1282" width="8.85546875" style="73" customWidth="1"/>
    <col min="1283" max="1283" width="28.42578125" style="73" customWidth="1"/>
    <col min="1284" max="1284" width="13.85546875" style="73" customWidth="1"/>
    <col min="1285" max="1285" width="8.42578125" style="73" customWidth="1"/>
    <col min="1286" max="1289" width="0" style="73" hidden="1" customWidth="1"/>
    <col min="1290" max="1290" width="5.28515625" style="73" customWidth="1"/>
    <col min="1291" max="1291" width="5.5703125" style="73" customWidth="1"/>
    <col min="1292" max="1292" width="6" style="73" customWidth="1"/>
    <col min="1293" max="1293" width="5.5703125" style="73" customWidth="1"/>
    <col min="1294" max="1295" width="5.7109375" style="73" customWidth="1"/>
    <col min="1296" max="1296" width="9.85546875" style="73" customWidth="1"/>
    <col min="1297" max="1297" width="9.7109375" style="73" customWidth="1"/>
    <col min="1298" max="1298" width="8.85546875" style="73" customWidth="1"/>
    <col min="1299" max="1299" width="10" style="73" customWidth="1"/>
    <col min="1300" max="1300" width="8.28515625" style="73" customWidth="1"/>
    <col min="1301" max="1301" width="9.5703125" style="73" customWidth="1"/>
    <col min="1302" max="1302" width="15.5703125" style="73" customWidth="1"/>
    <col min="1303" max="1534" width="9.140625" style="73"/>
    <col min="1535" max="1535" width="6.85546875" style="73" customWidth="1"/>
    <col min="1536" max="1536" width="2.140625" style="73" customWidth="1"/>
    <col min="1537" max="1537" width="6.140625" style="73" customWidth="1"/>
    <col min="1538" max="1538" width="8.85546875" style="73" customWidth="1"/>
    <col min="1539" max="1539" width="28.42578125" style="73" customWidth="1"/>
    <col min="1540" max="1540" width="13.85546875" style="73" customWidth="1"/>
    <col min="1541" max="1541" width="8.42578125" style="73" customWidth="1"/>
    <col min="1542" max="1545" width="0" style="73" hidden="1" customWidth="1"/>
    <col min="1546" max="1546" width="5.28515625" style="73" customWidth="1"/>
    <col min="1547" max="1547" width="5.5703125" style="73" customWidth="1"/>
    <col min="1548" max="1548" width="6" style="73" customWidth="1"/>
    <col min="1549" max="1549" width="5.5703125" style="73" customWidth="1"/>
    <col min="1550" max="1551" width="5.7109375" style="73" customWidth="1"/>
    <col min="1552" max="1552" width="9.85546875" style="73" customWidth="1"/>
    <col min="1553" max="1553" width="9.7109375" style="73" customWidth="1"/>
    <col min="1554" max="1554" width="8.85546875" style="73" customWidth="1"/>
    <col min="1555" max="1555" width="10" style="73" customWidth="1"/>
    <col min="1556" max="1556" width="8.28515625" style="73" customWidth="1"/>
    <col min="1557" max="1557" width="9.5703125" style="73" customWidth="1"/>
    <col min="1558" max="1558" width="15.5703125" style="73" customWidth="1"/>
    <col min="1559" max="1790" width="9.140625" style="73"/>
    <col min="1791" max="1791" width="6.85546875" style="73" customWidth="1"/>
    <col min="1792" max="1792" width="2.140625" style="73" customWidth="1"/>
    <col min="1793" max="1793" width="6.140625" style="73" customWidth="1"/>
    <col min="1794" max="1794" width="8.85546875" style="73" customWidth="1"/>
    <col min="1795" max="1795" width="28.42578125" style="73" customWidth="1"/>
    <col min="1796" max="1796" width="13.85546875" style="73" customWidth="1"/>
    <col min="1797" max="1797" width="8.42578125" style="73" customWidth="1"/>
    <col min="1798" max="1801" width="0" style="73" hidden="1" customWidth="1"/>
    <col min="1802" max="1802" width="5.28515625" style="73" customWidth="1"/>
    <col min="1803" max="1803" width="5.5703125" style="73" customWidth="1"/>
    <col min="1804" max="1804" width="6" style="73" customWidth="1"/>
    <col min="1805" max="1805" width="5.5703125" style="73" customWidth="1"/>
    <col min="1806" max="1807" width="5.7109375" style="73" customWidth="1"/>
    <col min="1808" max="1808" width="9.85546875" style="73" customWidth="1"/>
    <col min="1809" max="1809" width="9.7109375" style="73" customWidth="1"/>
    <col min="1810" max="1810" width="8.85546875" style="73" customWidth="1"/>
    <col min="1811" max="1811" width="10" style="73" customWidth="1"/>
    <col min="1812" max="1812" width="8.28515625" style="73" customWidth="1"/>
    <col min="1813" max="1813" width="9.5703125" style="73" customWidth="1"/>
    <col min="1814" max="1814" width="15.5703125" style="73" customWidth="1"/>
    <col min="1815" max="2046" width="9.140625" style="73"/>
    <col min="2047" max="2047" width="6.85546875" style="73" customWidth="1"/>
    <col min="2048" max="2048" width="2.140625" style="73" customWidth="1"/>
    <col min="2049" max="2049" width="6.140625" style="73" customWidth="1"/>
    <col min="2050" max="2050" width="8.85546875" style="73" customWidth="1"/>
    <col min="2051" max="2051" width="28.42578125" style="73" customWidth="1"/>
    <col min="2052" max="2052" width="13.85546875" style="73" customWidth="1"/>
    <col min="2053" max="2053" width="8.42578125" style="73" customWidth="1"/>
    <col min="2054" max="2057" width="0" style="73" hidden="1" customWidth="1"/>
    <col min="2058" max="2058" width="5.28515625" style="73" customWidth="1"/>
    <col min="2059" max="2059" width="5.5703125" style="73" customWidth="1"/>
    <col min="2060" max="2060" width="6" style="73" customWidth="1"/>
    <col min="2061" max="2061" width="5.5703125" style="73" customWidth="1"/>
    <col min="2062" max="2063" width="5.7109375" style="73" customWidth="1"/>
    <col min="2064" max="2064" width="9.85546875" style="73" customWidth="1"/>
    <col min="2065" max="2065" width="9.7109375" style="73" customWidth="1"/>
    <col min="2066" max="2066" width="8.85546875" style="73" customWidth="1"/>
    <col min="2067" max="2067" width="10" style="73" customWidth="1"/>
    <col min="2068" max="2068" width="8.28515625" style="73" customWidth="1"/>
    <col min="2069" max="2069" width="9.5703125" style="73" customWidth="1"/>
    <col min="2070" max="2070" width="15.5703125" style="73" customWidth="1"/>
    <col min="2071" max="2302" width="9.140625" style="73"/>
    <col min="2303" max="2303" width="6.85546875" style="73" customWidth="1"/>
    <col min="2304" max="2304" width="2.140625" style="73" customWidth="1"/>
    <col min="2305" max="2305" width="6.140625" style="73" customWidth="1"/>
    <col min="2306" max="2306" width="8.85546875" style="73" customWidth="1"/>
    <col min="2307" max="2307" width="28.42578125" style="73" customWidth="1"/>
    <col min="2308" max="2308" width="13.85546875" style="73" customWidth="1"/>
    <col min="2309" max="2309" width="8.42578125" style="73" customWidth="1"/>
    <col min="2310" max="2313" width="0" style="73" hidden="1" customWidth="1"/>
    <col min="2314" max="2314" width="5.28515625" style="73" customWidth="1"/>
    <col min="2315" max="2315" width="5.5703125" style="73" customWidth="1"/>
    <col min="2316" max="2316" width="6" style="73" customWidth="1"/>
    <col min="2317" max="2317" width="5.5703125" style="73" customWidth="1"/>
    <col min="2318" max="2319" width="5.7109375" style="73" customWidth="1"/>
    <col min="2320" max="2320" width="9.85546875" style="73" customWidth="1"/>
    <col min="2321" max="2321" width="9.7109375" style="73" customWidth="1"/>
    <col min="2322" max="2322" width="8.85546875" style="73" customWidth="1"/>
    <col min="2323" max="2323" width="10" style="73" customWidth="1"/>
    <col min="2324" max="2324" width="8.28515625" style="73" customWidth="1"/>
    <col min="2325" max="2325" width="9.5703125" style="73" customWidth="1"/>
    <col min="2326" max="2326" width="15.5703125" style="73" customWidth="1"/>
    <col min="2327" max="2558" width="9.140625" style="73"/>
    <col min="2559" max="2559" width="6.85546875" style="73" customWidth="1"/>
    <col min="2560" max="2560" width="2.140625" style="73" customWidth="1"/>
    <col min="2561" max="2561" width="6.140625" style="73" customWidth="1"/>
    <col min="2562" max="2562" width="8.85546875" style="73" customWidth="1"/>
    <col min="2563" max="2563" width="28.42578125" style="73" customWidth="1"/>
    <col min="2564" max="2564" width="13.85546875" style="73" customWidth="1"/>
    <col min="2565" max="2565" width="8.42578125" style="73" customWidth="1"/>
    <col min="2566" max="2569" width="0" style="73" hidden="1" customWidth="1"/>
    <col min="2570" max="2570" width="5.28515625" style="73" customWidth="1"/>
    <col min="2571" max="2571" width="5.5703125" style="73" customWidth="1"/>
    <col min="2572" max="2572" width="6" style="73" customWidth="1"/>
    <col min="2573" max="2573" width="5.5703125" style="73" customWidth="1"/>
    <col min="2574" max="2575" width="5.7109375" style="73" customWidth="1"/>
    <col min="2576" max="2576" width="9.85546875" style="73" customWidth="1"/>
    <col min="2577" max="2577" width="9.7109375" style="73" customWidth="1"/>
    <col min="2578" max="2578" width="8.85546875" style="73" customWidth="1"/>
    <col min="2579" max="2579" width="10" style="73" customWidth="1"/>
    <col min="2580" max="2580" width="8.28515625" style="73" customWidth="1"/>
    <col min="2581" max="2581" width="9.5703125" style="73" customWidth="1"/>
    <col min="2582" max="2582" width="15.5703125" style="73" customWidth="1"/>
    <col min="2583" max="2814" width="9.140625" style="73"/>
    <col min="2815" max="2815" width="6.85546875" style="73" customWidth="1"/>
    <col min="2816" max="2816" width="2.140625" style="73" customWidth="1"/>
    <col min="2817" max="2817" width="6.140625" style="73" customWidth="1"/>
    <col min="2818" max="2818" width="8.85546875" style="73" customWidth="1"/>
    <col min="2819" max="2819" width="28.42578125" style="73" customWidth="1"/>
    <col min="2820" max="2820" width="13.85546875" style="73" customWidth="1"/>
    <col min="2821" max="2821" width="8.42578125" style="73" customWidth="1"/>
    <col min="2822" max="2825" width="0" style="73" hidden="1" customWidth="1"/>
    <col min="2826" max="2826" width="5.28515625" style="73" customWidth="1"/>
    <col min="2827" max="2827" width="5.5703125" style="73" customWidth="1"/>
    <col min="2828" max="2828" width="6" style="73" customWidth="1"/>
    <col min="2829" max="2829" width="5.5703125" style="73" customWidth="1"/>
    <col min="2830" max="2831" width="5.7109375" style="73" customWidth="1"/>
    <col min="2832" max="2832" width="9.85546875" style="73" customWidth="1"/>
    <col min="2833" max="2833" width="9.7109375" style="73" customWidth="1"/>
    <col min="2834" max="2834" width="8.85546875" style="73" customWidth="1"/>
    <col min="2835" max="2835" width="10" style="73" customWidth="1"/>
    <col min="2836" max="2836" width="8.28515625" style="73" customWidth="1"/>
    <col min="2837" max="2837" width="9.5703125" style="73" customWidth="1"/>
    <col min="2838" max="2838" width="15.5703125" style="73" customWidth="1"/>
    <col min="2839" max="3070" width="9.140625" style="73"/>
    <col min="3071" max="3071" width="6.85546875" style="73" customWidth="1"/>
    <col min="3072" max="3072" width="2.140625" style="73" customWidth="1"/>
    <col min="3073" max="3073" width="6.140625" style="73" customWidth="1"/>
    <col min="3074" max="3074" width="8.85546875" style="73" customWidth="1"/>
    <col min="3075" max="3075" width="28.42578125" style="73" customWidth="1"/>
    <col min="3076" max="3076" width="13.85546875" style="73" customWidth="1"/>
    <col min="3077" max="3077" width="8.42578125" style="73" customWidth="1"/>
    <col min="3078" max="3081" width="0" style="73" hidden="1" customWidth="1"/>
    <col min="3082" max="3082" width="5.28515625" style="73" customWidth="1"/>
    <col min="3083" max="3083" width="5.5703125" style="73" customWidth="1"/>
    <col min="3084" max="3084" width="6" style="73" customWidth="1"/>
    <col min="3085" max="3085" width="5.5703125" style="73" customWidth="1"/>
    <col min="3086" max="3087" width="5.7109375" style="73" customWidth="1"/>
    <col min="3088" max="3088" width="9.85546875" style="73" customWidth="1"/>
    <col min="3089" max="3089" width="9.7109375" style="73" customWidth="1"/>
    <col min="3090" max="3090" width="8.85546875" style="73" customWidth="1"/>
    <col min="3091" max="3091" width="10" style="73" customWidth="1"/>
    <col min="3092" max="3092" width="8.28515625" style="73" customWidth="1"/>
    <col min="3093" max="3093" width="9.5703125" style="73" customWidth="1"/>
    <col min="3094" max="3094" width="15.5703125" style="73" customWidth="1"/>
    <col min="3095" max="3326" width="9.140625" style="73"/>
    <col min="3327" max="3327" width="6.85546875" style="73" customWidth="1"/>
    <col min="3328" max="3328" width="2.140625" style="73" customWidth="1"/>
    <col min="3329" max="3329" width="6.140625" style="73" customWidth="1"/>
    <col min="3330" max="3330" width="8.85546875" style="73" customWidth="1"/>
    <col min="3331" max="3331" width="28.42578125" style="73" customWidth="1"/>
    <col min="3332" max="3332" width="13.85546875" style="73" customWidth="1"/>
    <col min="3333" max="3333" width="8.42578125" style="73" customWidth="1"/>
    <col min="3334" max="3337" width="0" style="73" hidden="1" customWidth="1"/>
    <col min="3338" max="3338" width="5.28515625" style="73" customWidth="1"/>
    <col min="3339" max="3339" width="5.5703125" style="73" customWidth="1"/>
    <col min="3340" max="3340" width="6" style="73" customWidth="1"/>
    <col min="3341" max="3341" width="5.5703125" style="73" customWidth="1"/>
    <col min="3342" max="3343" width="5.7109375" style="73" customWidth="1"/>
    <col min="3344" max="3344" width="9.85546875" style="73" customWidth="1"/>
    <col min="3345" max="3345" width="9.7109375" style="73" customWidth="1"/>
    <col min="3346" max="3346" width="8.85546875" style="73" customWidth="1"/>
    <col min="3347" max="3347" width="10" style="73" customWidth="1"/>
    <col min="3348" max="3348" width="8.28515625" style="73" customWidth="1"/>
    <col min="3349" max="3349" width="9.5703125" style="73" customWidth="1"/>
    <col min="3350" max="3350" width="15.5703125" style="73" customWidth="1"/>
    <col min="3351" max="3582" width="9.140625" style="73"/>
    <col min="3583" max="3583" width="6.85546875" style="73" customWidth="1"/>
    <col min="3584" max="3584" width="2.140625" style="73" customWidth="1"/>
    <col min="3585" max="3585" width="6.140625" style="73" customWidth="1"/>
    <col min="3586" max="3586" width="8.85546875" style="73" customWidth="1"/>
    <col min="3587" max="3587" width="28.42578125" style="73" customWidth="1"/>
    <col min="3588" max="3588" width="13.85546875" style="73" customWidth="1"/>
    <col min="3589" max="3589" width="8.42578125" style="73" customWidth="1"/>
    <col min="3590" max="3593" width="0" style="73" hidden="1" customWidth="1"/>
    <col min="3594" max="3594" width="5.28515625" style="73" customWidth="1"/>
    <col min="3595" max="3595" width="5.5703125" style="73" customWidth="1"/>
    <col min="3596" max="3596" width="6" style="73" customWidth="1"/>
    <col min="3597" max="3597" width="5.5703125" style="73" customWidth="1"/>
    <col min="3598" max="3599" width="5.7109375" style="73" customWidth="1"/>
    <col min="3600" max="3600" width="9.85546875" style="73" customWidth="1"/>
    <col min="3601" max="3601" width="9.7109375" style="73" customWidth="1"/>
    <col min="3602" max="3602" width="8.85546875" style="73" customWidth="1"/>
    <col min="3603" max="3603" width="10" style="73" customWidth="1"/>
    <col min="3604" max="3604" width="8.28515625" style="73" customWidth="1"/>
    <col min="3605" max="3605" width="9.5703125" style="73" customWidth="1"/>
    <col min="3606" max="3606" width="15.5703125" style="73" customWidth="1"/>
    <col min="3607" max="3838" width="9.140625" style="73"/>
    <col min="3839" max="3839" width="6.85546875" style="73" customWidth="1"/>
    <col min="3840" max="3840" width="2.140625" style="73" customWidth="1"/>
    <col min="3841" max="3841" width="6.140625" style="73" customWidth="1"/>
    <col min="3842" max="3842" width="8.85546875" style="73" customWidth="1"/>
    <col min="3843" max="3843" width="28.42578125" style="73" customWidth="1"/>
    <col min="3844" max="3844" width="13.85546875" style="73" customWidth="1"/>
    <col min="3845" max="3845" width="8.42578125" style="73" customWidth="1"/>
    <col min="3846" max="3849" width="0" style="73" hidden="1" customWidth="1"/>
    <col min="3850" max="3850" width="5.28515625" style="73" customWidth="1"/>
    <col min="3851" max="3851" width="5.5703125" style="73" customWidth="1"/>
    <col min="3852" max="3852" width="6" style="73" customWidth="1"/>
    <col min="3853" max="3853" width="5.5703125" style="73" customWidth="1"/>
    <col min="3854" max="3855" width="5.7109375" style="73" customWidth="1"/>
    <col min="3856" max="3856" width="9.85546875" style="73" customWidth="1"/>
    <col min="3857" max="3857" width="9.7109375" style="73" customWidth="1"/>
    <col min="3858" max="3858" width="8.85546875" style="73" customWidth="1"/>
    <col min="3859" max="3859" width="10" style="73" customWidth="1"/>
    <col min="3860" max="3860" width="8.28515625" style="73" customWidth="1"/>
    <col min="3861" max="3861" width="9.5703125" style="73" customWidth="1"/>
    <col min="3862" max="3862" width="15.5703125" style="73" customWidth="1"/>
    <col min="3863" max="4094" width="9.140625" style="73"/>
    <col min="4095" max="4095" width="6.85546875" style="73" customWidth="1"/>
    <col min="4096" max="4096" width="2.140625" style="73" customWidth="1"/>
    <col min="4097" max="4097" width="6.140625" style="73" customWidth="1"/>
    <col min="4098" max="4098" width="8.85546875" style="73" customWidth="1"/>
    <col min="4099" max="4099" width="28.42578125" style="73" customWidth="1"/>
    <col min="4100" max="4100" width="13.85546875" style="73" customWidth="1"/>
    <col min="4101" max="4101" width="8.42578125" style="73" customWidth="1"/>
    <col min="4102" max="4105" width="0" style="73" hidden="1" customWidth="1"/>
    <col min="4106" max="4106" width="5.28515625" style="73" customWidth="1"/>
    <col min="4107" max="4107" width="5.5703125" style="73" customWidth="1"/>
    <col min="4108" max="4108" width="6" style="73" customWidth="1"/>
    <col min="4109" max="4109" width="5.5703125" style="73" customWidth="1"/>
    <col min="4110" max="4111" width="5.7109375" style="73" customWidth="1"/>
    <col min="4112" max="4112" width="9.85546875" style="73" customWidth="1"/>
    <col min="4113" max="4113" width="9.7109375" style="73" customWidth="1"/>
    <col min="4114" max="4114" width="8.85546875" style="73" customWidth="1"/>
    <col min="4115" max="4115" width="10" style="73" customWidth="1"/>
    <col min="4116" max="4116" width="8.28515625" style="73" customWidth="1"/>
    <col min="4117" max="4117" width="9.5703125" style="73" customWidth="1"/>
    <col min="4118" max="4118" width="15.5703125" style="73" customWidth="1"/>
    <col min="4119" max="4350" width="9.140625" style="73"/>
    <col min="4351" max="4351" width="6.85546875" style="73" customWidth="1"/>
    <col min="4352" max="4352" width="2.140625" style="73" customWidth="1"/>
    <col min="4353" max="4353" width="6.140625" style="73" customWidth="1"/>
    <col min="4354" max="4354" width="8.85546875" style="73" customWidth="1"/>
    <col min="4355" max="4355" width="28.42578125" style="73" customWidth="1"/>
    <col min="4356" max="4356" width="13.85546875" style="73" customWidth="1"/>
    <col min="4357" max="4357" width="8.42578125" style="73" customWidth="1"/>
    <col min="4358" max="4361" width="0" style="73" hidden="1" customWidth="1"/>
    <col min="4362" max="4362" width="5.28515625" style="73" customWidth="1"/>
    <col min="4363" max="4363" width="5.5703125" style="73" customWidth="1"/>
    <col min="4364" max="4364" width="6" style="73" customWidth="1"/>
    <col min="4365" max="4365" width="5.5703125" style="73" customWidth="1"/>
    <col min="4366" max="4367" width="5.7109375" style="73" customWidth="1"/>
    <col min="4368" max="4368" width="9.85546875" style="73" customWidth="1"/>
    <col min="4369" max="4369" width="9.7109375" style="73" customWidth="1"/>
    <col min="4370" max="4370" width="8.85546875" style="73" customWidth="1"/>
    <col min="4371" max="4371" width="10" style="73" customWidth="1"/>
    <col min="4372" max="4372" width="8.28515625" style="73" customWidth="1"/>
    <col min="4373" max="4373" width="9.5703125" style="73" customWidth="1"/>
    <col min="4374" max="4374" width="15.5703125" style="73" customWidth="1"/>
    <col min="4375" max="4606" width="9.140625" style="73"/>
    <col min="4607" max="4607" width="6.85546875" style="73" customWidth="1"/>
    <col min="4608" max="4608" width="2.140625" style="73" customWidth="1"/>
    <col min="4609" max="4609" width="6.140625" style="73" customWidth="1"/>
    <col min="4610" max="4610" width="8.85546875" style="73" customWidth="1"/>
    <col min="4611" max="4611" width="28.42578125" style="73" customWidth="1"/>
    <col min="4612" max="4612" width="13.85546875" style="73" customWidth="1"/>
    <col min="4613" max="4613" width="8.42578125" style="73" customWidth="1"/>
    <col min="4614" max="4617" width="0" style="73" hidden="1" customWidth="1"/>
    <col min="4618" max="4618" width="5.28515625" style="73" customWidth="1"/>
    <col min="4619" max="4619" width="5.5703125" style="73" customWidth="1"/>
    <col min="4620" max="4620" width="6" style="73" customWidth="1"/>
    <col min="4621" max="4621" width="5.5703125" style="73" customWidth="1"/>
    <col min="4622" max="4623" width="5.7109375" style="73" customWidth="1"/>
    <col min="4624" max="4624" width="9.85546875" style="73" customWidth="1"/>
    <col min="4625" max="4625" width="9.7109375" style="73" customWidth="1"/>
    <col min="4626" max="4626" width="8.85546875" style="73" customWidth="1"/>
    <col min="4627" max="4627" width="10" style="73" customWidth="1"/>
    <col min="4628" max="4628" width="8.28515625" style="73" customWidth="1"/>
    <col min="4629" max="4629" width="9.5703125" style="73" customWidth="1"/>
    <col min="4630" max="4630" width="15.5703125" style="73" customWidth="1"/>
    <col min="4631" max="4862" width="9.140625" style="73"/>
    <col min="4863" max="4863" width="6.85546875" style="73" customWidth="1"/>
    <col min="4864" max="4864" width="2.140625" style="73" customWidth="1"/>
    <col min="4865" max="4865" width="6.140625" style="73" customWidth="1"/>
    <col min="4866" max="4866" width="8.85546875" style="73" customWidth="1"/>
    <col min="4867" max="4867" width="28.42578125" style="73" customWidth="1"/>
    <col min="4868" max="4868" width="13.85546875" style="73" customWidth="1"/>
    <col min="4869" max="4869" width="8.42578125" style="73" customWidth="1"/>
    <col min="4870" max="4873" width="0" style="73" hidden="1" customWidth="1"/>
    <col min="4874" max="4874" width="5.28515625" style="73" customWidth="1"/>
    <col min="4875" max="4875" width="5.5703125" style="73" customWidth="1"/>
    <col min="4876" max="4876" width="6" style="73" customWidth="1"/>
    <col min="4877" max="4877" width="5.5703125" style="73" customWidth="1"/>
    <col min="4878" max="4879" width="5.7109375" style="73" customWidth="1"/>
    <col min="4880" max="4880" width="9.85546875" style="73" customWidth="1"/>
    <col min="4881" max="4881" width="9.7109375" style="73" customWidth="1"/>
    <col min="4882" max="4882" width="8.85546875" style="73" customWidth="1"/>
    <col min="4883" max="4883" width="10" style="73" customWidth="1"/>
    <col min="4884" max="4884" width="8.28515625" style="73" customWidth="1"/>
    <col min="4885" max="4885" width="9.5703125" style="73" customWidth="1"/>
    <col min="4886" max="4886" width="15.5703125" style="73" customWidth="1"/>
    <col min="4887" max="5118" width="9.140625" style="73"/>
    <col min="5119" max="5119" width="6.85546875" style="73" customWidth="1"/>
    <col min="5120" max="5120" width="2.140625" style="73" customWidth="1"/>
    <col min="5121" max="5121" width="6.140625" style="73" customWidth="1"/>
    <col min="5122" max="5122" width="8.85546875" style="73" customWidth="1"/>
    <col min="5123" max="5123" width="28.42578125" style="73" customWidth="1"/>
    <col min="5124" max="5124" width="13.85546875" style="73" customWidth="1"/>
    <col min="5125" max="5125" width="8.42578125" style="73" customWidth="1"/>
    <col min="5126" max="5129" width="0" style="73" hidden="1" customWidth="1"/>
    <col min="5130" max="5130" width="5.28515625" style="73" customWidth="1"/>
    <col min="5131" max="5131" width="5.5703125" style="73" customWidth="1"/>
    <col min="5132" max="5132" width="6" style="73" customWidth="1"/>
    <col min="5133" max="5133" width="5.5703125" style="73" customWidth="1"/>
    <col min="5134" max="5135" width="5.7109375" style="73" customWidth="1"/>
    <col min="5136" max="5136" width="9.85546875" style="73" customWidth="1"/>
    <col min="5137" max="5137" width="9.7109375" style="73" customWidth="1"/>
    <col min="5138" max="5138" width="8.85546875" style="73" customWidth="1"/>
    <col min="5139" max="5139" width="10" style="73" customWidth="1"/>
    <col min="5140" max="5140" width="8.28515625" style="73" customWidth="1"/>
    <col min="5141" max="5141" width="9.5703125" style="73" customWidth="1"/>
    <col min="5142" max="5142" width="15.5703125" style="73" customWidth="1"/>
    <col min="5143" max="5374" width="9.140625" style="73"/>
    <col min="5375" max="5375" width="6.85546875" style="73" customWidth="1"/>
    <col min="5376" max="5376" width="2.140625" style="73" customWidth="1"/>
    <col min="5377" max="5377" width="6.140625" style="73" customWidth="1"/>
    <col min="5378" max="5378" width="8.85546875" style="73" customWidth="1"/>
    <col min="5379" max="5379" width="28.42578125" style="73" customWidth="1"/>
    <col min="5380" max="5380" width="13.85546875" style="73" customWidth="1"/>
    <col min="5381" max="5381" width="8.42578125" style="73" customWidth="1"/>
    <col min="5382" max="5385" width="0" style="73" hidden="1" customWidth="1"/>
    <col min="5386" max="5386" width="5.28515625" style="73" customWidth="1"/>
    <col min="5387" max="5387" width="5.5703125" style="73" customWidth="1"/>
    <col min="5388" max="5388" width="6" style="73" customWidth="1"/>
    <col min="5389" max="5389" width="5.5703125" style="73" customWidth="1"/>
    <col min="5390" max="5391" width="5.7109375" style="73" customWidth="1"/>
    <col min="5392" max="5392" width="9.85546875" style="73" customWidth="1"/>
    <col min="5393" max="5393" width="9.7109375" style="73" customWidth="1"/>
    <col min="5394" max="5394" width="8.85546875" style="73" customWidth="1"/>
    <col min="5395" max="5395" width="10" style="73" customWidth="1"/>
    <col min="5396" max="5396" width="8.28515625" style="73" customWidth="1"/>
    <col min="5397" max="5397" width="9.5703125" style="73" customWidth="1"/>
    <col min="5398" max="5398" width="15.5703125" style="73" customWidth="1"/>
    <col min="5399" max="5630" width="9.140625" style="73"/>
    <col min="5631" max="5631" width="6.85546875" style="73" customWidth="1"/>
    <col min="5632" max="5632" width="2.140625" style="73" customWidth="1"/>
    <col min="5633" max="5633" width="6.140625" style="73" customWidth="1"/>
    <col min="5634" max="5634" width="8.85546875" style="73" customWidth="1"/>
    <col min="5635" max="5635" width="28.42578125" style="73" customWidth="1"/>
    <col min="5636" max="5636" width="13.85546875" style="73" customWidth="1"/>
    <col min="5637" max="5637" width="8.42578125" style="73" customWidth="1"/>
    <col min="5638" max="5641" width="0" style="73" hidden="1" customWidth="1"/>
    <col min="5642" max="5642" width="5.28515625" style="73" customWidth="1"/>
    <col min="5643" max="5643" width="5.5703125" style="73" customWidth="1"/>
    <col min="5644" max="5644" width="6" style="73" customWidth="1"/>
    <col min="5645" max="5645" width="5.5703125" style="73" customWidth="1"/>
    <col min="5646" max="5647" width="5.7109375" style="73" customWidth="1"/>
    <col min="5648" max="5648" width="9.85546875" style="73" customWidth="1"/>
    <col min="5649" max="5649" width="9.7109375" style="73" customWidth="1"/>
    <col min="5650" max="5650" width="8.85546875" style="73" customWidth="1"/>
    <col min="5651" max="5651" width="10" style="73" customWidth="1"/>
    <col min="5652" max="5652" width="8.28515625" style="73" customWidth="1"/>
    <col min="5653" max="5653" width="9.5703125" style="73" customWidth="1"/>
    <col min="5654" max="5654" width="15.5703125" style="73" customWidth="1"/>
    <col min="5655" max="5886" width="9.140625" style="73"/>
    <col min="5887" max="5887" width="6.85546875" style="73" customWidth="1"/>
    <col min="5888" max="5888" width="2.140625" style="73" customWidth="1"/>
    <col min="5889" max="5889" width="6.140625" style="73" customWidth="1"/>
    <col min="5890" max="5890" width="8.85546875" style="73" customWidth="1"/>
    <col min="5891" max="5891" width="28.42578125" style="73" customWidth="1"/>
    <col min="5892" max="5892" width="13.85546875" style="73" customWidth="1"/>
    <col min="5893" max="5893" width="8.42578125" style="73" customWidth="1"/>
    <col min="5894" max="5897" width="0" style="73" hidden="1" customWidth="1"/>
    <col min="5898" max="5898" width="5.28515625" style="73" customWidth="1"/>
    <col min="5899" max="5899" width="5.5703125" style="73" customWidth="1"/>
    <col min="5900" max="5900" width="6" style="73" customWidth="1"/>
    <col min="5901" max="5901" width="5.5703125" style="73" customWidth="1"/>
    <col min="5902" max="5903" width="5.7109375" style="73" customWidth="1"/>
    <col min="5904" max="5904" width="9.85546875" style="73" customWidth="1"/>
    <col min="5905" max="5905" width="9.7109375" style="73" customWidth="1"/>
    <col min="5906" max="5906" width="8.85546875" style="73" customWidth="1"/>
    <col min="5907" max="5907" width="10" style="73" customWidth="1"/>
    <col min="5908" max="5908" width="8.28515625" style="73" customWidth="1"/>
    <col min="5909" max="5909" width="9.5703125" style="73" customWidth="1"/>
    <col min="5910" max="5910" width="15.5703125" style="73" customWidth="1"/>
    <col min="5911" max="6142" width="9.140625" style="73"/>
    <col min="6143" max="6143" width="6.85546875" style="73" customWidth="1"/>
    <col min="6144" max="6144" width="2.140625" style="73" customWidth="1"/>
    <col min="6145" max="6145" width="6.140625" style="73" customWidth="1"/>
    <col min="6146" max="6146" width="8.85546875" style="73" customWidth="1"/>
    <col min="6147" max="6147" width="28.42578125" style="73" customWidth="1"/>
    <col min="6148" max="6148" width="13.85546875" style="73" customWidth="1"/>
    <col min="6149" max="6149" width="8.42578125" style="73" customWidth="1"/>
    <col min="6150" max="6153" width="0" style="73" hidden="1" customWidth="1"/>
    <col min="6154" max="6154" width="5.28515625" style="73" customWidth="1"/>
    <col min="6155" max="6155" width="5.5703125" style="73" customWidth="1"/>
    <col min="6156" max="6156" width="6" style="73" customWidth="1"/>
    <col min="6157" max="6157" width="5.5703125" style="73" customWidth="1"/>
    <col min="6158" max="6159" width="5.7109375" style="73" customWidth="1"/>
    <col min="6160" max="6160" width="9.85546875" style="73" customWidth="1"/>
    <col min="6161" max="6161" width="9.7109375" style="73" customWidth="1"/>
    <col min="6162" max="6162" width="8.85546875" style="73" customWidth="1"/>
    <col min="6163" max="6163" width="10" style="73" customWidth="1"/>
    <col min="6164" max="6164" width="8.28515625" style="73" customWidth="1"/>
    <col min="6165" max="6165" width="9.5703125" style="73" customWidth="1"/>
    <col min="6166" max="6166" width="15.5703125" style="73" customWidth="1"/>
    <col min="6167" max="6398" width="9.140625" style="73"/>
    <col min="6399" max="6399" width="6.85546875" style="73" customWidth="1"/>
    <col min="6400" max="6400" width="2.140625" style="73" customWidth="1"/>
    <col min="6401" max="6401" width="6.140625" style="73" customWidth="1"/>
    <col min="6402" max="6402" width="8.85546875" style="73" customWidth="1"/>
    <col min="6403" max="6403" width="28.42578125" style="73" customWidth="1"/>
    <col min="6404" max="6404" width="13.85546875" style="73" customWidth="1"/>
    <col min="6405" max="6405" width="8.42578125" style="73" customWidth="1"/>
    <col min="6406" max="6409" width="0" style="73" hidden="1" customWidth="1"/>
    <col min="6410" max="6410" width="5.28515625" style="73" customWidth="1"/>
    <col min="6411" max="6411" width="5.5703125" style="73" customWidth="1"/>
    <col min="6412" max="6412" width="6" style="73" customWidth="1"/>
    <col min="6413" max="6413" width="5.5703125" style="73" customWidth="1"/>
    <col min="6414" max="6415" width="5.7109375" style="73" customWidth="1"/>
    <col min="6416" max="6416" width="9.85546875" style="73" customWidth="1"/>
    <col min="6417" max="6417" width="9.7109375" style="73" customWidth="1"/>
    <col min="6418" max="6418" width="8.85546875" style="73" customWidth="1"/>
    <col min="6419" max="6419" width="10" style="73" customWidth="1"/>
    <col min="6420" max="6420" width="8.28515625" style="73" customWidth="1"/>
    <col min="6421" max="6421" width="9.5703125" style="73" customWidth="1"/>
    <col min="6422" max="6422" width="15.5703125" style="73" customWidth="1"/>
    <col min="6423" max="6654" width="9.140625" style="73"/>
    <col min="6655" max="6655" width="6.85546875" style="73" customWidth="1"/>
    <col min="6656" max="6656" width="2.140625" style="73" customWidth="1"/>
    <col min="6657" max="6657" width="6.140625" style="73" customWidth="1"/>
    <col min="6658" max="6658" width="8.85546875" style="73" customWidth="1"/>
    <col min="6659" max="6659" width="28.42578125" style="73" customWidth="1"/>
    <col min="6660" max="6660" width="13.85546875" style="73" customWidth="1"/>
    <col min="6661" max="6661" width="8.42578125" style="73" customWidth="1"/>
    <col min="6662" max="6665" width="0" style="73" hidden="1" customWidth="1"/>
    <col min="6666" max="6666" width="5.28515625" style="73" customWidth="1"/>
    <col min="6667" max="6667" width="5.5703125" style="73" customWidth="1"/>
    <col min="6668" max="6668" width="6" style="73" customWidth="1"/>
    <col min="6669" max="6669" width="5.5703125" style="73" customWidth="1"/>
    <col min="6670" max="6671" width="5.7109375" style="73" customWidth="1"/>
    <col min="6672" max="6672" width="9.85546875" style="73" customWidth="1"/>
    <col min="6673" max="6673" width="9.7109375" style="73" customWidth="1"/>
    <col min="6674" max="6674" width="8.85546875" style="73" customWidth="1"/>
    <col min="6675" max="6675" width="10" style="73" customWidth="1"/>
    <col min="6676" max="6676" width="8.28515625" style="73" customWidth="1"/>
    <col min="6677" max="6677" width="9.5703125" style="73" customWidth="1"/>
    <col min="6678" max="6678" width="15.5703125" style="73" customWidth="1"/>
    <col min="6679" max="6910" width="9.140625" style="73"/>
    <col min="6911" max="6911" width="6.85546875" style="73" customWidth="1"/>
    <col min="6912" max="6912" width="2.140625" style="73" customWidth="1"/>
    <col min="6913" max="6913" width="6.140625" style="73" customWidth="1"/>
    <col min="6914" max="6914" width="8.85546875" style="73" customWidth="1"/>
    <col min="6915" max="6915" width="28.42578125" style="73" customWidth="1"/>
    <col min="6916" max="6916" width="13.85546875" style="73" customWidth="1"/>
    <col min="6917" max="6917" width="8.42578125" style="73" customWidth="1"/>
    <col min="6918" max="6921" width="0" style="73" hidden="1" customWidth="1"/>
    <col min="6922" max="6922" width="5.28515625" style="73" customWidth="1"/>
    <col min="6923" max="6923" width="5.5703125" style="73" customWidth="1"/>
    <col min="6924" max="6924" width="6" style="73" customWidth="1"/>
    <col min="6925" max="6925" width="5.5703125" style="73" customWidth="1"/>
    <col min="6926" max="6927" width="5.7109375" style="73" customWidth="1"/>
    <col min="6928" max="6928" width="9.85546875" style="73" customWidth="1"/>
    <col min="6929" max="6929" width="9.7109375" style="73" customWidth="1"/>
    <col min="6930" max="6930" width="8.85546875" style="73" customWidth="1"/>
    <col min="6931" max="6931" width="10" style="73" customWidth="1"/>
    <col min="6932" max="6932" width="8.28515625" style="73" customWidth="1"/>
    <col min="6933" max="6933" width="9.5703125" style="73" customWidth="1"/>
    <col min="6934" max="6934" width="15.5703125" style="73" customWidth="1"/>
    <col min="6935" max="7166" width="9.140625" style="73"/>
    <col min="7167" max="7167" width="6.85546875" style="73" customWidth="1"/>
    <col min="7168" max="7168" width="2.140625" style="73" customWidth="1"/>
    <col min="7169" max="7169" width="6.140625" style="73" customWidth="1"/>
    <col min="7170" max="7170" width="8.85546875" style="73" customWidth="1"/>
    <col min="7171" max="7171" width="28.42578125" style="73" customWidth="1"/>
    <col min="7172" max="7172" width="13.85546875" style="73" customWidth="1"/>
    <col min="7173" max="7173" width="8.42578125" style="73" customWidth="1"/>
    <col min="7174" max="7177" width="0" style="73" hidden="1" customWidth="1"/>
    <col min="7178" max="7178" width="5.28515625" style="73" customWidth="1"/>
    <col min="7179" max="7179" width="5.5703125" style="73" customWidth="1"/>
    <col min="7180" max="7180" width="6" style="73" customWidth="1"/>
    <col min="7181" max="7181" width="5.5703125" style="73" customWidth="1"/>
    <col min="7182" max="7183" width="5.7109375" style="73" customWidth="1"/>
    <col min="7184" max="7184" width="9.85546875" style="73" customWidth="1"/>
    <col min="7185" max="7185" width="9.7109375" style="73" customWidth="1"/>
    <col min="7186" max="7186" width="8.85546875" style="73" customWidth="1"/>
    <col min="7187" max="7187" width="10" style="73" customWidth="1"/>
    <col min="7188" max="7188" width="8.28515625" style="73" customWidth="1"/>
    <col min="7189" max="7189" width="9.5703125" style="73" customWidth="1"/>
    <col min="7190" max="7190" width="15.5703125" style="73" customWidth="1"/>
    <col min="7191" max="7422" width="9.140625" style="73"/>
    <col min="7423" max="7423" width="6.85546875" style="73" customWidth="1"/>
    <col min="7424" max="7424" width="2.140625" style="73" customWidth="1"/>
    <col min="7425" max="7425" width="6.140625" style="73" customWidth="1"/>
    <col min="7426" max="7426" width="8.85546875" style="73" customWidth="1"/>
    <col min="7427" max="7427" width="28.42578125" style="73" customWidth="1"/>
    <col min="7428" max="7428" width="13.85546875" style="73" customWidth="1"/>
    <col min="7429" max="7429" width="8.42578125" style="73" customWidth="1"/>
    <col min="7430" max="7433" width="0" style="73" hidden="1" customWidth="1"/>
    <col min="7434" max="7434" width="5.28515625" style="73" customWidth="1"/>
    <col min="7435" max="7435" width="5.5703125" style="73" customWidth="1"/>
    <col min="7436" max="7436" width="6" style="73" customWidth="1"/>
    <col min="7437" max="7437" width="5.5703125" style="73" customWidth="1"/>
    <col min="7438" max="7439" width="5.7109375" style="73" customWidth="1"/>
    <col min="7440" max="7440" width="9.85546875" style="73" customWidth="1"/>
    <col min="7441" max="7441" width="9.7109375" style="73" customWidth="1"/>
    <col min="7442" max="7442" width="8.85546875" style="73" customWidth="1"/>
    <col min="7443" max="7443" width="10" style="73" customWidth="1"/>
    <col min="7444" max="7444" width="8.28515625" style="73" customWidth="1"/>
    <col min="7445" max="7445" width="9.5703125" style="73" customWidth="1"/>
    <col min="7446" max="7446" width="15.5703125" style="73" customWidth="1"/>
    <col min="7447" max="7678" width="9.140625" style="73"/>
    <col min="7679" max="7679" width="6.85546875" style="73" customWidth="1"/>
    <col min="7680" max="7680" width="2.140625" style="73" customWidth="1"/>
    <col min="7681" max="7681" width="6.140625" style="73" customWidth="1"/>
    <col min="7682" max="7682" width="8.85546875" style="73" customWidth="1"/>
    <col min="7683" max="7683" width="28.42578125" style="73" customWidth="1"/>
    <col min="7684" max="7684" width="13.85546875" style="73" customWidth="1"/>
    <col min="7685" max="7685" width="8.42578125" style="73" customWidth="1"/>
    <col min="7686" max="7689" width="0" style="73" hidden="1" customWidth="1"/>
    <col min="7690" max="7690" width="5.28515625" style="73" customWidth="1"/>
    <col min="7691" max="7691" width="5.5703125" style="73" customWidth="1"/>
    <col min="7692" max="7692" width="6" style="73" customWidth="1"/>
    <col min="7693" max="7693" width="5.5703125" style="73" customWidth="1"/>
    <col min="7694" max="7695" width="5.7109375" style="73" customWidth="1"/>
    <col min="7696" max="7696" width="9.85546875" style="73" customWidth="1"/>
    <col min="7697" max="7697" width="9.7109375" style="73" customWidth="1"/>
    <col min="7698" max="7698" width="8.85546875" style="73" customWidth="1"/>
    <col min="7699" max="7699" width="10" style="73" customWidth="1"/>
    <col min="7700" max="7700" width="8.28515625" style="73" customWidth="1"/>
    <col min="7701" max="7701" width="9.5703125" style="73" customWidth="1"/>
    <col min="7702" max="7702" width="15.5703125" style="73" customWidth="1"/>
    <col min="7703" max="7934" width="9.140625" style="73"/>
    <col min="7935" max="7935" width="6.85546875" style="73" customWidth="1"/>
    <col min="7936" max="7936" width="2.140625" style="73" customWidth="1"/>
    <col min="7937" max="7937" width="6.140625" style="73" customWidth="1"/>
    <col min="7938" max="7938" width="8.85546875" style="73" customWidth="1"/>
    <col min="7939" max="7939" width="28.42578125" style="73" customWidth="1"/>
    <col min="7940" max="7940" width="13.85546875" style="73" customWidth="1"/>
    <col min="7941" max="7941" width="8.42578125" style="73" customWidth="1"/>
    <col min="7942" max="7945" width="0" style="73" hidden="1" customWidth="1"/>
    <col min="7946" max="7946" width="5.28515625" style="73" customWidth="1"/>
    <col min="7947" max="7947" width="5.5703125" style="73" customWidth="1"/>
    <col min="7948" max="7948" width="6" style="73" customWidth="1"/>
    <col min="7949" max="7949" width="5.5703125" style="73" customWidth="1"/>
    <col min="7950" max="7951" width="5.7109375" style="73" customWidth="1"/>
    <col min="7952" max="7952" width="9.85546875" style="73" customWidth="1"/>
    <col min="7953" max="7953" width="9.7109375" style="73" customWidth="1"/>
    <col min="7954" max="7954" width="8.85546875" style="73" customWidth="1"/>
    <col min="7955" max="7955" width="10" style="73" customWidth="1"/>
    <col min="7956" max="7956" width="8.28515625" style="73" customWidth="1"/>
    <col min="7957" max="7957" width="9.5703125" style="73" customWidth="1"/>
    <col min="7958" max="7958" width="15.5703125" style="73" customWidth="1"/>
    <col min="7959" max="8190" width="9.140625" style="73"/>
    <col min="8191" max="8191" width="6.85546875" style="73" customWidth="1"/>
    <col min="8192" max="8192" width="2.140625" style="73" customWidth="1"/>
    <col min="8193" max="8193" width="6.140625" style="73" customWidth="1"/>
    <col min="8194" max="8194" width="8.85546875" style="73" customWidth="1"/>
    <col min="8195" max="8195" width="28.42578125" style="73" customWidth="1"/>
    <col min="8196" max="8196" width="13.85546875" style="73" customWidth="1"/>
    <col min="8197" max="8197" width="8.42578125" style="73" customWidth="1"/>
    <col min="8198" max="8201" width="0" style="73" hidden="1" customWidth="1"/>
    <col min="8202" max="8202" width="5.28515625" style="73" customWidth="1"/>
    <col min="8203" max="8203" width="5.5703125" style="73" customWidth="1"/>
    <col min="8204" max="8204" width="6" style="73" customWidth="1"/>
    <col min="8205" max="8205" width="5.5703125" style="73" customWidth="1"/>
    <col min="8206" max="8207" width="5.7109375" style="73" customWidth="1"/>
    <col min="8208" max="8208" width="9.85546875" style="73" customWidth="1"/>
    <col min="8209" max="8209" width="9.7109375" style="73" customWidth="1"/>
    <col min="8210" max="8210" width="8.85546875" style="73" customWidth="1"/>
    <col min="8211" max="8211" width="10" style="73" customWidth="1"/>
    <col min="8212" max="8212" width="8.28515625" style="73" customWidth="1"/>
    <col min="8213" max="8213" width="9.5703125" style="73" customWidth="1"/>
    <col min="8214" max="8214" width="15.5703125" style="73" customWidth="1"/>
    <col min="8215" max="8446" width="9.140625" style="73"/>
    <col min="8447" max="8447" width="6.85546875" style="73" customWidth="1"/>
    <col min="8448" max="8448" width="2.140625" style="73" customWidth="1"/>
    <col min="8449" max="8449" width="6.140625" style="73" customWidth="1"/>
    <col min="8450" max="8450" width="8.85546875" style="73" customWidth="1"/>
    <col min="8451" max="8451" width="28.42578125" style="73" customWidth="1"/>
    <col min="8452" max="8452" width="13.85546875" style="73" customWidth="1"/>
    <col min="8453" max="8453" width="8.42578125" style="73" customWidth="1"/>
    <col min="8454" max="8457" width="0" style="73" hidden="1" customWidth="1"/>
    <col min="8458" max="8458" width="5.28515625" style="73" customWidth="1"/>
    <col min="8459" max="8459" width="5.5703125" style="73" customWidth="1"/>
    <col min="8460" max="8460" width="6" style="73" customWidth="1"/>
    <col min="8461" max="8461" width="5.5703125" style="73" customWidth="1"/>
    <col min="8462" max="8463" width="5.7109375" style="73" customWidth="1"/>
    <col min="8464" max="8464" width="9.85546875" style="73" customWidth="1"/>
    <col min="8465" max="8465" width="9.7109375" style="73" customWidth="1"/>
    <col min="8466" max="8466" width="8.85546875" style="73" customWidth="1"/>
    <col min="8467" max="8467" width="10" style="73" customWidth="1"/>
    <col min="8468" max="8468" width="8.28515625" style="73" customWidth="1"/>
    <col min="8469" max="8469" width="9.5703125" style="73" customWidth="1"/>
    <col min="8470" max="8470" width="15.5703125" style="73" customWidth="1"/>
    <col min="8471" max="8702" width="9.140625" style="73"/>
    <col min="8703" max="8703" width="6.85546875" style="73" customWidth="1"/>
    <col min="8704" max="8704" width="2.140625" style="73" customWidth="1"/>
    <col min="8705" max="8705" width="6.140625" style="73" customWidth="1"/>
    <col min="8706" max="8706" width="8.85546875" style="73" customWidth="1"/>
    <col min="8707" max="8707" width="28.42578125" style="73" customWidth="1"/>
    <col min="8708" max="8708" width="13.85546875" style="73" customWidth="1"/>
    <col min="8709" max="8709" width="8.42578125" style="73" customWidth="1"/>
    <col min="8710" max="8713" width="0" style="73" hidden="1" customWidth="1"/>
    <col min="8714" max="8714" width="5.28515625" style="73" customWidth="1"/>
    <col min="8715" max="8715" width="5.5703125" style="73" customWidth="1"/>
    <col min="8716" max="8716" width="6" style="73" customWidth="1"/>
    <col min="8717" max="8717" width="5.5703125" style="73" customWidth="1"/>
    <col min="8718" max="8719" width="5.7109375" style="73" customWidth="1"/>
    <col min="8720" max="8720" width="9.85546875" style="73" customWidth="1"/>
    <col min="8721" max="8721" width="9.7109375" style="73" customWidth="1"/>
    <col min="8722" max="8722" width="8.85546875" style="73" customWidth="1"/>
    <col min="8723" max="8723" width="10" style="73" customWidth="1"/>
    <col min="8724" max="8724" width="8.28515625" style="73" customWidth="1"/>
    <col min="8725" max="8725" width="9.5703125" style="73" customWidth="1"/>
    <col min="8726" max="8726" width="15.5703125" style="73" customWidth="1"/>
    <col min="8727" max="8958" width="9.140625" style="73"/>
    <col min="8959" max="8959" width="6.85546875" style="73" customWidth="1"/>
    <col min="8960" max="8960" width="2.140625" style="73" customWidth="1"/>
    <col min="8961" max="8961" width="6.140625" style="73" customWidth="1"/>
    <col min="8962" max="8962" width="8.85546875" style="73" customWidth="1"/>
    <col min="8963" max="8963" width="28.42578125" style="73" customWidth="1"/>
    <col min="8964" max="8964" width="13.85546875" style="73" customWidth="1"/>
    <col min="8965" max="8965" width="8.42578125" style="73" customWidth="1"/>
    <col min="8966" max="8969" width="0" style="73" hidden="1" customWidth="1"/>
    <col min="8970" max="8970" width="5.28515625" style="73" customWidth="1"/>
    <col min="8971" max="8971" width="5.5703125" style="73" customWidth="1"/>
    <col min="8972" max="8972" width="6" style="73" customWidth="1"/>
    <col min="8973" max="8973" width="5.5703125" style="73" customWidth="1"/>
    <col min="8974" max="8975" width="5.7109375" style="73" customWidth="1"/>
    <col min="8976" max="8976" width="9.85546875" style="73" customWidth="1"/>
    <col min="8977" max="8977" width="9.7109375" style="73" customWidth="1"/>
    <col min="8978" max="8978" width="8.85546875" style="73" customWidth="1"/>
    <col min="8979" max="8979" width="10" style="73" customWidth="1"/>
    <col min="8980" max="8980" width="8.28515625" style="73" customWidth="1"/>
    <col min="8981" max="8981" width="9.5703125" style="73" customWidth="1"/>
    <col min="8982" max="8982" width="15.5703125" style="73" customWidth="1"/>
    <col min="8983" max="9214" width="9.140625" style="73"/>
    <col min="9215" max="9215" width="6.85546875" style="73" customWidth="1"/>
    <col min="9216" max="9216" width="2.140625" style="73" customWidth="1"/>
    <col min="9217" max="9217" width="6.140625" style="73" customWidth="1"/>
    <col min="9218" max="9218" width="8.85546875" style="73" customWidth="1"/>
    <col min="9219" max="9219" width="28.42578125" style="73" customWidth="1"/>
    <col min="9220" max="9220" width="13.85546875" style="73" customWidth="1"/>
    <col min="9221" max="9221" width="8.42578125" style="73" customWidth="1"/>
    <col min="9222" max="9225" width="0" style="73" hidden="1" customWidth="1"/>
    <col min="9226" max="9226" width="5.28515625" style="73" customWidth="1"/>
    <col min="9227" max="9227" width="5.5703125" style="73" customWidth="1"/>
    <col min="9228" max="9228" width="6" style="73" customWidth="1"/>
    <col min="9229" max="9229" width="5.5703125" style="73" customWidth="1"/>
    <col min="9230" max="9231" width="5.7109375" style="73" customWidth="1"/>
    <col min="9232" max="9232" width="9.85546875" style="73" customWidth="1"/>
    <col min="9233" max="9233" width="9.7109375" style="73" customWidth="1"/>
    <col min="9234" max="9234" width="8.85546875" style="73" customWidth="1"/>
    <col min="9235" max="9235" width="10" style="73" customWidth="1"/>
    <col min="9236" max="9236" width="8.28515625" style="73" customWidth="1"/>
    <col min="9237" max="9237" width="9.5703125" style="73" customWidth="1"/>
    <col min="9238" max="9238" width="15.5703125" style="73" customWidth="1"/>
    <col min="9239" max="9470" width="9.140625" style="73"/>
    <col min="9471" max="9471" width="6.85546875" style="73" customWidth="1"/>
    <col min="9472" max="9472" width="2.140625" style="73" customWidth="1"/>
    <col min="9473" max="9473" width="6.140625" style="73" customWidth="1"/>
    <col min="9474" max="9474" width="8.85546875" style="73" customWidth="1"/>
    <col min="9475" max="9475" width="28.42578125" style="73" customWidth="1"/>
    <col min="9476" max="9476" width="13.85546875" style="73" customWidth="1"/>
    <col min="9477" max="9477" width="8.42578125" style="73" customWidth="1"/>
    <col min="9478" max="9481" width="0" style="73" hidden="1" customWidth="1"/>
    <col min="9482" max="9482" width="5.28515625" style="73" customWidth="1"/>
    <col min="9483" max="9483" width="5.5703125" style="73" customWidth="1"/>
    <col min="9484" max="9484" width="6" style="73" customWidth="1"/>
    <col min="9485" max="9485" width="5.5703125" style="73" customWidth="1"/>
    <col min="9486" max="9487" width="5.7109375" style="73" customWidth="1"/>
    <col min="9488" max="9488" width="9.85546875" style="73" customWidth="1"/>
    <col min="9489" max="9489" width="9.7109375" style="73" customWidth="1"/>
    <col min="9490" max="9490" width="8.85546875" style="73" customWidth="1"/>
    <col min="9491" max="9491" width="10" style="73" customWidth="1"/>
    <col min="9492" max="9492" width="8.28515625" style="73" customWidth="1"/>
    <col min="9493" max="9493" width="9.5703125" style="73" customWidth="1"/>
    <col min="9494" max="9494" width="15.5703125" style="73" customWidth="1"/>
    <col min="9495" max="9726" width="9.140625" style="73"/>
    <col min="9727" max="9727" width="6.85546875" style="73" customWidth="1"/>
    <col min="9728" max="9728" width="2.140625" style="73" customWidth="1"/>
    <col min="9729" max="9729" width="6.140625" style="73" customWidth="1"/>
    <col min="9730" max="9730" width="8.85546875" style="73" customWidth="1"/>
    <col min="9731" max="9731" width="28.42578125" style="73" customWidth="1"/>
    <col min="9732" max="9732" width="13.85546875" style="73" customWidth="1"/>
    <col min="9733" max="9733" width="8.42578125" style="73" customWidth="1"/>
    <col min="9734" max="9737" width="0" style="73" hidden="1" customWidth="1"/>
    <col min="9738" max="9738" width="5.28515625" style="73" customWidth="1"/>
    <col min="9739" max="9739" width="5.5703125" style="73" customWidth="1"/>
    <col min="9740" max="9740" width="6" style="73" customWidth="1"/>
    <col min="9741" max="9741" width="5.5703125" style="73" customWidth="1"/>
    <col min="9742" max="9743" width="5.7109375" style="73" customWidth="1"/>
    <col min="9744" max="9744" width="9.85546875" style="73" customWidth="1"/>
    <col min="9745" max="9745" width="9.7109375" style="73" customWidth="1"/>
    <col min="9746" max="9746" width="8.85546875" style="73" customWidth="1"/>
    <col min="9747" max="9747" width="10" style="73" customWidth="1"/>
    <col min="9748" max="9748" width="8.28515625" style="73" customWidth="1"/>
    <col min="9749" max="9749" width="9.5703125" style="73" customWidth="1"/>
    <col min="9750" max="9750" width="15.5703125" style="73" customWidth="1"/>
    <col min="9751" max="9982" width="9.140625" style="73"/>
    <col min="9983" max="9983" width="6.85546875" style="73" customWidth="1"/>
    <col min="9984" max="9984" width="2.140625" style="73" customWidth="1"/>
    <col min="9985" max="9985" width="6.140625" style="73" customWidth="1"/>
    <col min="9986" max="9986" width="8.85546875" style="73" customWidth="1"/>
    <col min="9987" max="9987" width="28.42578125" style="73" customWidth="1"/>
    <col min="9988" max="9988" width="13.85546875" style="73" customWidth="1"/>
    <col min="9989" max="9989" width="8.42578125" style="73" customWidth="1"/>
    <col min="9990" max="9993" width="0" style="73" hidden="1" customWidth="1"/>
    <col min="9994" max="9994" width="5.28515625" style="73" customWidth="1"/>
    <col min="9995" max="9995" width="5.5703125" style="73" customWidth="1"/>
    <col min="9996" max="9996" width="6" style="73" customWidth="1"/>
    <col min="9997" max="9997" width="5.5703125" style="73" customWidth="1"/>
    <col min="9998" max="9999" width="5.7109375" style="73" customWidth="1"/>
    <col min="10000" max="10000" width="9.85546875" style="73" customWidth="1"/>
    <col min="10001" max="10001" width="9.7109375" style="73" customWidth="1"/>
    <col min="10002" max="10002" width="8.85546875" style="73" customWidth="1"/>
    <col min="10003" max="10003" width="10" style="73" customWidth="1"/>
    <col min="10004" max="10004" width="8.28515625" style="73" customWidth="1"/>
    <col min="10005" max="10005" width="9.5703125" style="73" customWidth="1"/>
    <col min="10006" max="10006" width="15.5703125" style="73" customWidth="1"/>
    <col min="10007" max="10238" width="9.140625" style="73"/>
    <col min="10239" max="10239" width="6.85546875" style="73" customWidth="1"/>
    <col min="10240" max="10240" width="2.140625" style="73" customWidth="1"/>
    <col min="10241" max="10241" width="6.140625" style="73" customWidth="1"/>
    <col min="10242" max="10242" width="8.85546875" style="73" customWidth="1"/>
    <col min="10243" max="10243" width="28.42578125" style="73" customWidth="1"/>
    <col min="10244" max="10244" width="13.85546875" style="73" customWidth="1"/>
    <col min="10245" max="10245" width="8.42578125" style="73" customWidth="1"/>
    <col min="10246" max="10249" width="0" style="73" hidden="1" customWidth="1"/>
    <col min="10250" max="10250" width="5.28515625" style="73" customWidth="1"/>
    <col min="10251" max="10251" width="5.5703125" style="73" customWidth="1"/>
    <col min="10252" max="10252" width="6" style="73" customWidth="1"/>
    <col min="10253" max="10253" width="5.5703125" style="73" customWidth="1"/>
    <col min="10254" max="10255" width="5.7109375" style="73" customWidth="1"/>
    <col min="10256" max="10256" width="9.85546875" style="73" customWidth="1"/>
    <col min="10257" max="10257" width="9.7109375" style="73" customWidth="1"/>
    <col min="10258" max="10258" width="8.85546875" style="73" customWidth="1"/>
    <col min="10259" max="10259" width="10" style="73" customWidth="1"/>
    <col min="10260" max="10260" width="8.28515625" style="73" customWidth="1"/>
    <col min="10261" max="10261" width="9.5703125" style="73" customWidth="1"/>
    <col min="10262" max="10262" width="15.5703125" style="73" customWidth="1"/>
    <col min="10263" max="10494" width="9.140625" style="73"/>
    <col min="10495" max="10495" width="6.85546875" style="73" customWidth="1"/>
    <col min="10496" max="10496" width="2.140625" style="73" customWidth="1"/>
    <col min="10497" max="10497" width="6.140625" style="73" customWidth="1"/>
    <col min="10498" max="10498" width="8.85546875" style="73" customWidth="1"/>
    <col min="10499" max="10499" width="28.42578125" style="73" customWidth="1"/>
    <col min="10500" max="10500" width="13.85546875" style="73" customWidth="1"/>
    <col min="10501" max="10501" width="8.42578125" style="73" customWidth="1"/>
    <col min="10502" max="10505" width="0" style="73" hidden="1" customWidth="1"/>
    <col min="10506" max="10506" width="5.28515625" style="73" customWidth="1"/>
    <col min="10507" max="10507" width="5.5703125" style="73" customWidth="1"/>
    <col min="10508" max="10508" width="6" style="73" customWidth="1"/>
    <col min="10509" max="10509" width="5.5703125" style="73" customWidth="1"/>
    <col min="10510" max="10511" width="5.7109375" style="73" customWidth="1"/>
    <col min="10512" max="10512" width="9.85546875" style="73" customWidth="1"/>
    <col min="10513" max="10513" width="9.7109375" style="73" customWidth="1"/>
    <col min="10514" max="10514" width="8.85546875" style="73" customWidth="1"/>
    <col min="10515" max="10515" width="10" style="73" customWidth="1"/>
    <col min="10516" max="10516" width="8.28515625" style="73" customWidth="1"/>
    <col min="10517" max="10517" width="9.5703125" style="73" customWidth="1"/>
    <col min="10518" max="10518" width="15.5703125" style="73" customWidth="1"/>
    <col min="10519" max="10750" width="9.140625" style="73"/>
    <col min="10751" max="10751" width="6.85546875" style="73" customWidth="1"/>
    <col min="10752" max="10752" width="2.140625" style="73" customWidth="1"/>
    <col min="10753" max="10753" width="6.140625" style="73" customWidth="1"/>
    <col min="10754" max="10754" width="8.85546875" style="73" customWidth="1"/>
    <col min="10755" max="10755" width="28.42578125" style="73" customWidth="1"/>
    <col min="10756" max="10756" width="13.85546875" style="73" customWidth="1"/>
    <col min="10757" max="10757" width="8.42578125" style="73" customWidth="1"/>
    <col min="10758" max="10761" width="0" style="73" hidden="1" customWidth="1"/>
    <col min="10762" max="10762" width="5.28515625" style="73" customWidth="1"/>
    <col min="10763" max="10763" width="5.5703125" style="73" customWidth="1"/>
    <col min="10764" max="10764" width="6" style="73" customWidth="1"/>
    <col min="10765" max="10765" width="5.5703125" style="73" customWidth="1"/>
    <col min="10766" max="10767" width="5.7109375" style="73" customWidth="1"/>
    <col min="10768" max="10768" width="9.85546875" style="73" customWidth="1"/>
    <col min="10769" max="10769" width="9.7109375" style="73" customWidth="1"/>
    <col min="10770" max="10770" width="8.85546875" style="73" customWidth="1"/>
    <col min="10771" max="10771" width="10" style="73" customWidth="1"/>
    <col min="10772" max="10772" width="8.28515625" style="73" customWidth="1"/>
    <col min="10773" max="10773" width="9.5703125" style="73" customWidth="1"/>
    <col min="10774" max="10774" width="15.5703125" style="73" customWidth="1"/>
    <col min="10775" max="11006" width="9.140625" style="73"/>
    <col min="11007" max="11007" width="6.85546875" style="73" customWidth="1"/>
    <col min="11008" max="11008" width="2.140625" style="73" customWidth="1"/>
    <col min="11009" max="11009" width="6.140625" style="73" customWidth="1"/>
    <col min="11010" max="11010" width="8.85546875" style="73" customWidth="1"/>
    <col min="11011" max="11011" width="28.42578125" style="73" customWidth="1"/>
    <col min="11012" max="11012" width="13.85546875" style="73" customWidth="1"/>
    <col min="11013" max="11013" width="8.42578125" style="73" customWidth="1"/>
    <col min="11014" max="11017" width="0" style="73" hidden="1" customWidth="1"/>
    <col min="11018" max="11018" width="5.28515625" style="73" customWidth="1"/>
    <col min="11019" max="11019" width="5.5703125" style="73" customWidth="1"/>
    <col min="11020" max="11020" width="6" style="73" customWidth="1"/>
    <col min="11021" max="11021" width="5.5703125" style="73" customWidth="1"/>
    <col min="11022" max="11023" width="5.7109375" style="73" customWidth="1"/>
    <col min="11024" max="11024" width="9.85546875" style="73" customWidth="1"/>
    <col min="11025" max="11025" width="9.7109375" style="73" customWidth="1"/>
    <col min="11026" max="11026" width="8.85546875" style="73" customWidth="1"/>
    <col min="11027" max="11027" width="10" style="73" customWidth="1"/>
    <col min="11028" max="11028" width="8.28515625" style="73" customWidth="1"/>
    <col min="11029" max="11029" width="9.5703125" style="73" customWidth="1"/>
    <col min="11030" max="11030" width="15.5703125" style="73" customWidth="1"/>
    <col min="11031" max="11262" width="9.140625" style="73"/>
    <col min="11263" max="11263" width="6.85546875" style="73" customWidth="1"/>
    <col min="11264" max="11264" width="2.140625" style="73" customWidth="1"/>
    <col min="11265" max="11265" width="6.140625" style="73" customWidth="1"/>
    <col min="11266" max="11266" width="8.85546875" style="73" customWidth="1"/>
    <col min="11267" max="11267" width="28.42578125" style="73" customWidth="1"/>
    <col min="11268" max="11268" width="13.85546875" style="73" customWidth="1"/>
    <col min="11269" max="11269" width="8.42578125" style="73" customWidth="1"/>
    <col min="11270" max="11273" width="0" style="73" hidden="1" customWidth="1"/>
    <col min="11274" max="11274" width="5.28515625" style="73" customWidth="1"/>
    <col min="11275" max="11275" width="5.5703125" style="73" customWidth="1"/>
    <col min="11276" max="11276" width="6" style="73" customWidth="1"/>
    <col min="11277" max="11277" width="5.5703125" style="73" customWidth="1"/>
    <col min="11278" max="11279" width="5.7109375" style="73" customWidth="1"/>
    <col min="11280" max="11280" width="9.85546875" style="73" customWidth="1"/>
    <col min="11281" max="11281" width="9.7109375" style="73" customWidth="1"/>
    <col min="11282" max="11282" width="8.85546875" style="73" customWidth="1"/>
    <col min="11283" max="11283" width="10" style="73" customWidth="1"/>
    <col min="11284" max="11284" width="8.28515625" style="73" customWidth="1"/>
    <col min="11285" max="11285" width="9.5703125" style="73" customWidth="1"/>
    <col min="11286" max="11286" width="15.5703125" style="73" customWidth="1"/>
    <col min="11287" max="11518" width="9.140625" style="73"/>
    <col min="11519" max="11519" width="6.85546875" style="73" customWidth="1"/>
    <col min="11520" max="11520" width="2.140625" style="73" customWidth="1"/>
    <col min="11521" max="11521" width="6.140625" style="73" customWidth="1"/>
    <col min="11522" max="11522" width="8.85546875" style="73" customWidth="1"/>
    <col min="11523" max="11523" width="28.42578125" style="73" customWidth="1"/>
    <col min="11524" max="11524" width="13.85546875" style="73" customWidth="1"/>
    <col min="11525" max="11525" width="8.42578125" style="73" customWidth="1"/>
    <col min="11526" max="11529" width="0" style="73" hidden="1" customWidth="1"/>
    <col min="11530" max="11530" width="5.28515625" style="73" customWidth="1"/>
    <col min="11531" max="11531" width="5.5703125" style="73" customWidth="1"/>
    <col min="11532" max="11532" width="6" style="73" customWidth="1"/>
    <col min="11533" max="11533" width="5.5703125" style="73" customWidth="1"/>
    <col min="11534" max="11535" width="5.7109375" style="73" customWidth="1"/>
    <col min="11536" max="11536" width="9.85546875" style="73" customWidth="1"/>
    <col min="11537" max="11537" width="9.7109375" style="73" customWidth="1"/>
    <col min="11538" max="11538" width="8.85546875" style="73" customWidth="1"/>
    <col min="11539" max="11539" width="10" style="73" customWidth="1"/>
    <col min="11540" max="11540" width="8.28515625" style="73" customWidth="1"/>
    <col min="11541" max="11541" width="9.5703125" style="73" customWidth="1"/>
    <col min="11542" max="11542" width="15.5703125" style="73" customWidth="1"/>
    <col min="11543" max="11774" width="9.140625" style="73"/>
    <col min="11775" max="11775" width="6.85546875" style="73" customWidth="1"/>
    <col min="11776" max="11776" width="2.140625" style="73" customWidth="1"/>
    <col min="11777" max="11777" width="6.140625" style="73" customWidth="1"/>
    <col min="11778" max="11778" width="8.85546875" style="73" customWidth="1"/>
    <col min="11779" max="11779" width="28.42578125" style="73" customWidth="1"/>
    <col min="11780" max="11780" width="13.85546875" style="73" customWidth="1"/>
    <col min="11781" max="11781" width="8.42578125" style="73" customWidth="1"/>
    <col min="11782" max="11785" width="0" style="73" hidden="1" customWidth="1"/>
    <col min="11786" max="11786" width="5.28515625" style="73" customWidth="1"/>
    <col min="11787" max="11787" width="5.5703125" style="73" customWidth="1"/>
    <col min="11788" max="11788" width="6" style="73" customWidth="1"/>
    <col min="11789" max="11789" width="5.5703125" style="73" customWidth="1"/>
    <col min="11790" max="11791" width="5.7109375" style="73" customWidth="1"/>
    <col min="11792" max="11792" width="9.85546875" style="73" customWidth="1"/>
    <col min="11793" max="11793" width="9.7109375" style="73" customWidth="1"/>
    <col min="11794" max="11794" width="8.85546875" style="73" customWidth="1"/>
    <col min="11795" max="11795" width="10" style="73" customWidth="1"/>
    <col min="11796" max="11796" width="8.28515625" style="73" customWidth="1"/>
    <col min="11797" max="11797" width="9.5703125" style="73" customWidth="1"/>
    <col min="11798" max="11798" width="15.5703125" style="73" customWidth="1"/>
    <col min="11799" max="12030" width="9.140625" style="73"/>
    <col min="12031" max="12031" width="6.85546875" style="73" customWidth="1"/>
    <col min="12032" max="12032" width="2.140625" style="73" customWidth="1"/>
    <col min="12033" max="12033" width="6.140625" style="73" customWidth="1"/>
    <col min="12034" max="12034" width="8.85546875" style="73" customWidth="1"/>
    <col min="12035" max="12035" width="28.42578125" style="73" customWidth="1"/>
    <col min="12036" max="12036" width="13.85546875" style="73" customWidth="1"/>
    <col min="12037" max="12037" width="8.42578125" style="73" customWidth="1"/>
    <col min="12038" max="12041" width="0" style="73" hidden="1" customWidth="1"/>
    <col min="12042" max="12042" width="5.28515625" style="73" customWidth="1"/>
    <col min="12043" max="12043" width="5.5703125" style="73" customWidth="1"/>
    <col min="12044" max="12044" width="6" style="73" customWidth="1"/>
    <col min="12045" max="12045" width="5.5703125" style="73" customWidth="1"/>
    <col min="12046" max="12047" width="5.7109375" style="73" customWidth="1"/>
    <col min="12048" max="12048" width="9.85546875" style="73" customWidth="1"/>
    <col min="12049" max="12049" width="9.7109375" style="73" customWidth="1"/>
    <col min="12050" max="12050" width="8.85546875" style="73" customWidth="1"/>
    <col min="12051" max="12051" width="10" style="73" customWidth="1"/>
    <col min="12052" max="12052" width="8.28515625" style="73" customWidth="1"/>
    <col min="12053" max="12053" width="9.5703125" style="73" customWidth="1"/>
    <col min="12054" max="12054" width="15.5703125" style="73" customWidth="1"/>
    <col min="12055" max="12286" width="9.140625" style="73"/>
    <col min="12287" max="12287" width="6.85546875" style="73" customWidth="1"/>
    <col min="12288" max="12288" width="2.140625" style="73" customWidth="1"/>
    <col min="12289" max="12289" width="6.140625" style="73" customWidth="1"/>
    <col min="12290" max="12290" width="8.85546875" style="73" customWidth="1"/>
    <col min="12291" max="12291" width="28.42578125" style="73" customWidth="1"/>
    <col min="12292" max="12292" width="13.85546875" style="73" customWidth="1"/>
    <col min="12293" max="12293" width="8.42578125" style="73" customWidth="1"/>
    <col min="12294" max="12297" width="0" style="73" hidden="1" customWidth="1"/>
    <col min="12298" max="12298" width="5.28515625" style="73" customWidth="1"/>
    <col min="12299" max="12299" width="5.5703125" style="73" customWidth="1"/>
    <col min="12300" max="12300" width="6" style="73" customWidth="1"/>
    <col min="12301" max="12301" width="5.5703125" style="73" customWidth="1"/>
    <col min="12302" max="12303" width="5.7109375" style="73" customWidth="1"/>
    <col min="12304" max="12304" width="9.85546875" style="73" customWidth="1"/>
    <col min="12305" max="12305" width="9.7109375" style="73" customWidth="1"/>
    <col min="12306" max="12306" width="8.85546875" style="73" customWidth="1"/>
    <col min="12307" max="12307" width="10" style="73" customWidth="1"/>
    <col min="12308" max="12308" width="8.28515625" style="73" customWidth="1"/>
    <col min="12309" max="12309" width="9.5703125" style="73" customWidth="1"/>
    <col min="12310" max="12310" width="15.5703125" style="73" customWidth="1"/>
    <col min="12311" max="12542" width="9.140625" style="73"/>
    <col min="12543" max="12543" width="6.85546875" style="73" customWidth="1"/>
    <col min="12544" max="12544" width="2.140625" style="73" customWidth="1"/>
    <col min="12545" max="12545" width="6.140625" style="73" customWidth="1"/>
    <col min="12546" max="12546" width="8.85546875" style="73" customWidth="1"/>
    <col min="12547" max="12547" width="28.42578125" style="73" customWidth="1"/>
    <col min="12548" max="12548" width="13.85546875" style="73" customWidth="1"/>
    <col min="12549" max="12549" width="8.42578125" style="73" customWidth="1"/>
    <col min="12550" max="12553" width="0" style="73" hidden="1" customWidth="1"/>
    <col min="12554" max="12554" width="5.28515625" style="73" customWidth="1"/>
    <col min="12555" max="12555" width="5.5703125" style="73" customWidth="1"/>
    <col min="12556" max="12556" width="6" style="73" customWidth="1"/>
    <col min="12557" max="12557" width="5.5703125" style="73" customWidth="1"/>
    <col min="12558" max="12559" width="5.7109375" style="73" customWidth="1"/>
    <col min="12560" max="12560" width="9.85546875" style="73" customWidth="1"/>
    <col min="12561" max="12561" width="9.7109375" style="73" customWidth="1"/>
    <col min="12562" max="12562" width="8.85546875" style="73" customWidth="1"/>
    <col min="12563" max="12563" width="10" style="73" customWidth="1"/>
    <col min="12564" max="12564" width="8.28515625" style="73" customWidth="1"/>
    <col min="12565" max="12565" width="9.5703125" style="73" customWidth="1"/>
    <col min="12566" max="12566" width="15.5703125" style="73" customWidth="1"/>
    <col min="12567" max="12798" width="9.140625" style="73"/>
    <col min="12799" max="12799" width="6.85546875" style="73" customWidth="1"/>
    <col min="12800" max="12800" width="2.140625" style="73" customWidth="1"/>
    <col min="12801" max="12801" width="6.140625" style="73" customWidth="1"/>
    <col min="12802" max="12802" width="8.85546875" style="73" customWidth="1"/>
    <col min="12803" max="12803" width="28.42578125" style="73" customWidth="1"/>
    <col min="12804" max="12804" width="13.85546875" style="73" customWidth="1"/>
    <col min="12805" max="12805" width="8.42578125" style="73" customWidth="1"/>
    <col min="12806" max="12809" width="0" style="73" hidden="1" customWidth="1"/>
    <col min="12810" max="12810" width="5.28515625" style="73" customWidth="1"/>
    <col min="12811" max="12811" width="5.5703125" style="73" customWidth="1"/>
    <col min="12812" max="12812" width="6" style="73" customWidth="1"/>
    <col min="12813" max="12813" width="5.5703125" style="73" customWidth="1"/>
    <col min="12814" max="12815" width="5.7109375" style="73" customWidth="1"/>
    <col min="12816" max="12816" width="9.85546875" style="73" customWidth="1"/>
    <col min="12817" max="12817" width="9.7109375" style="73" customWidth="1"/>
    <col min="12818" max="12818" width="8.85546875" style="73" customWidth="1"/>
    <col min="12819" max="12819" width="10" style="73" customWidth="1"/>
    <col min="12820" max="12820" width="8.28515625" style="73" customWidth="1"/>
    <col min="12821" max="12821" width="9.5703125" style="73" customWidth="1"/>
    <col min="12822" max="12822" width="15.5703125" style="73" customWidth="1"/>
    <col min="12823" max="13054" width="9.140625" style="73"/>
    <col min="13055" max="13055" width="6.85546875" style="73" customWidth="1"/>
    <col min="13056" max="13056" width="2.140625" style="73" customWidth="1"/>
    <col min="13057" max="13057" width="6.140625" style="73" customWidth="1"/>
    <col min="13058" max="13058" width="8.85546875" style="73" customWidth="1"/>
    <col min="13059" max="13059" width="28.42578125" style="73" customWidth="1"/>
    <col min="13060" max="13060" width="13.85546875" style="73" customWidth="1"/>
    <col min="13061" max="13061" width="8.42578125" style="73" customWidth="1"/>
    <col min="13062" max="13065" width="0" style="73" hidden="1" customWidth="1"/>
    <col min="13066" max="13066" width="5.28515625" style="73" customWidth="1"/>
    <col min="13067" max="13067" width="5.5703125" style="73" customWidth="1"/>
    <col min="13068" max="13068" width="6" style="73" customWidth="1"/>
    <col min="13069" max="13069" width="5.5703125" style="73" customWidth="1"/>
    <col min="13070" max="13071" width="5.7109375" style="73" customWidth="1"/>
    <col min="13072" max="13072" width="9.85546875" style="73" customWidth="1"/>
    <col min="13073" max="13073" width="9.7109375" style="73" customWidth="1"/>
    <col min="13074" max="13074" width="8.85546875" style="73" customWidth="1"/>
    <col min="13075" max="13075" width="10" style="73" customWidth="1"/>
    <col min="13076" max="13076" width="8.28515625" style="73" customWidth="1"/>
    <col min="13077" max="13077" width="9.5703125" style="73" customWidth="1"/>
    <col min="13078" max="13078" width="15.5703125" style="73" customWidth="1"/>
    <col min="13079" max="13310" width="9.140625" style="73"/>
    <col min="13311" max="13311" width="6.85546875" style="73" customWidth="1"/>
    <col min="13312" max="13312" width="2.140625" style="73" customWidth="1"/>
    <col min="13313" max="13313" width="6.140625" style="73" customWidth="1"/>
    <col min="13314" max="13314" width="8.85546875" style="73" customWidth="1"/>
    <col min="13315" max="13315" width="28.42578125" style="73" customWidth="1"/>
    <col min="13316" max="13316" width="13.85546875" style="73" customWidth="1"/>
    <col min="13317" max="13317" width="8.42578125" style="73" customWidth="1"/>
    <col min="13318" max="13321" width="0" style="73" hidden="1" customWidth="1"/>
    <col min="13322" max="13322" width="5.28515625" style="73" customWidth="1"/>
    <col min="13323" max="13323" width="5.5703125" style="73" customWidth="1"/>
    <col min="13324" max="13324" width="6" style="73" customWidth="1"/>
    <col min="13325" max="13325" width="5.5703125" style="73" customWidth="1"/>
    <col min="13326" max="13327" width="5.7109375" style="73" customWidth="1"/>
    <col min="13328" max="13328" width="9.85546875" style="73" customWidth="1"/>
    <col min="13329" max="13329" width="9.7109375" style="73" customWidth="1"/>
    <col min="13330" max="13330" width="8.85546875" style="73" customWidth="1"/>
    <col min="13331" max="13331" width="10" style="73" customWidth="1"/>
    <col min="13332" max="13332" width="8.28515625" style="73" customWidth="1"/>
    <col min="13333" max="13333" width="9.5703125" style="73" customWidth="1"/>
    <col min="13334" max="13334" width="15.5703125" style="73" customWidth="1"/>
    <col min="13335" max="13566" width="9.140625" style="73"/>
    <col min="13567" max="13567" width="6.85546875" style="73" customWidth="1"/>
    <col min="13568" max="13568" width="2.140625" style="73" customWidth="1"/>
    <col min="13569" max="13569" width="6.140625" style="73" customWidth="1"/>
    <col min="13570" max="13570" width="8.85546875" style="73" customWidth="1"/>
    <col min="13571" max="13571" width="28.42578125" style="73" customWidth="1"/>
    <col min="13572" max="13572" width="13.85546875" style="73" customWidth="1"/>
    <col min="13573" max="13573" width="8.42578125" style="73" customWidth="1"/>
    <col min="13574" max="13577" width="0" style="73" hidden="1" customWidth="1"/>
    <col min="13578" max="13578" width="5.28515625" style="73" customWidth="1"/>
    <col min="13579" max="13579" width="5.5703125" style="73" customWidth="1"/>
    <col min="13580" max="13580" width="6" style="73" customWidth="1"/>
    <col min="13581" max="13581" width="5.5703125" style="73" customWidth="1"/>
    <col min="13582" max="13583" width="5.7109375" style="73" customWidth="1"/>
    <col min="13584" max="13584" width="9.85546875" style="73" customWidth="1"/>
    <col min="13585" max="13585" width="9.7109375" style="73" customWidth="1"/>
    <col min="13586" max="13586" width="8.85546875" style="73" customWidth="1"/>
    <col min="13587" max="13587" width="10" style="73" customWidth="1"/>
    <col min="13588" max="13588" width="8.28515625" style="73" customWidth="1"/>
    <col min="13589" max="13589" width="9.5703125" style="73" customWidth="1"/>
    <col min="13590" max="13590" width="15.5703125" style="73" customWidth="1"/>
    <col min="13591" max="13822" width="9.140625" style="73"/>
    <col min="13823" max="13823" width="6.85546875" style="73" customWidth="1"/>
    <col min="13824" max="13824" width="2.140625" style="73" customWidth="1"/>
    <col min="13825" max="13825" width="6.140625" style="73" customWidth="1"/>
    <col min="13826" max="13826" width="8.85546875" style="73" customWidth="1"/>
    <col min="13827" max="13827" width="28.42578125" style="73" customWidth="1"/>
    <col min="13828" max="13828" width="13.85546875" style="73" customWidth="1"/>
    <col min="13829" max="13829" width="8.42578125" style="73" customWidth="1"/>
    <col min="13830" max="13833" width="0" style="73" hidden="1" customWidth="1"/>
    <col min="13834" max="13834" width="5.28515625" style="73" customWidth="1"/>
    <col min="13835" max="13835" width="5.5703125" style="73" customWidth="1"/>
    <col min="13836" max="13836" width="6" style="73" customWidth="1"/>
    <col min="13837" max="13837" width="5.5703125" style="73" customWidth="1"/>
    <col min="13838" max="13839" width="5.7109375" style="73" customWidth="1"/>
    <col min="13840" max="13840" width="9.85546875" style="73" customWidth="1"/>
    <col min="13841" max="13841" width="9.7109375" style="73" customWidth="1"/>
    <col min="13842" max="13842" width="8.85546875" style="73" customWidth="1"/>
    <col min="13843" max="13843" width="10" style="73" customWidth="1"/>
    <col min="13844" max="13844" width="8.28515625" style="73" customWidth="1"/>
    <col min="13845" max="13845" width="9.5703125" style="73" customWidth="1"/>
    <col min="13846" max="13846" width="15.5703125" style="73" customWidth="1"/>
    <col min="13847" max="14078" width="9.140625" style="73"/>
    <col min="14079" max="14079" width="6.85546875" style="73" customWidth="1"/>
    <col min="14080" max="14080" width="2.140625" style="73" customWidth="1"/>
    <col min="14081" max="14081" width="6.140625" style="73" customWidth="1"/>
    <col min="14082" max="14082" width="8.85546875" style="73" customWidth="1"/>
    <col min="14083" max="14083" width="28.42578125" style="73" customWidth="1"/>
    <col min="14084" max="14084" width="13.85546875" style="73" customWidth="1"/>
    <col min="14085" max="14085" width="8.42578125" style="73" customWidth="1"/>
    <col min="14086" max="14089" width="0" style="73" hidden="1" customWidth="1"/>
    <col min="14090" max="14090" width="5.28515625" style="73" customWidth="1"/>
    <col min="14091" max="14091" width="5.5703125" style="73" customWidth="1"/>
    <col min="14092" max="14092" width="6" style="73" customWidth="1"/>
    <col min="14093" max="14093" width="5.5703125" style="73" customWidth="1"/>
    <col min="14094" max="14095" width="5.7109375" style="73" customWidth="1"/>
    <col min="14096" max="14096" width="9.85546875" style="73" customWidth="1"/>
    <col min="14097" max="14097" width="9.7109375" style="73" customWidth="1"/>
    <col min="14098" max="14098" width="8.85546875" style="73" customWidth="1"/>
    <col min="14099" max="14099" width="10" style="73" customWidth="1"/>
    <col min="14100" max="14100" width="8.28515625" style="73" customWidth="1"/>
    <col min="14101" max="14101" width="9.5703125" style="73" customWidth="1"/>
    <col min="14102" max="14102" width="15.5703125" style="73" customWidth="1"/>
    <col min="14103" max="14334" width="9.140625" style="73"/>
    <col min="14335" max="14335" width="6.85546875" style="73" customWidth="1"/>
    <col min="14336" max="14336" width="2.140625" style="73" customWidth="1"/>
    <col min="14337" max="14337" width="6.140625" style="73" customWidth="1"/>
    <col min="14338" max="14338" width="8.85546875" style="73" customWidth="1"/>
    <col min="14339" max="14339" width="28.42578125" style="73" customWidth="1"/>
    <col min="14340" max="14340" width="13.85546875" style="73" customWidth="1"/>
    <col min="14341" max="14341" width="8.42578125" style="73" customWidth="1"/>
    <col min="14342" max="14345" width="0" style="73" hidden="1" customWidth="1"/>
    <col min="14346" max="14346" width="5.28515625" style="73" customWidth="1"/>
    <col min="14347" max="14347" width="5.5703125" style="73" customWidth="1"/>
    <col min="14348" max="14348" width="6" style="73" customWidth="1"/>
    <col min="14349" max="14349" width="5.5703125" style="73" customWidth="1"/>
    <col min="14350" max="14351" width="5.7109375" style="73" customWidth="1"/>
    <col min="14352" max="14352" width="9.85546875" style="73" customWidth="1"/>
    <col min="14353" max="14353" width="9.7109375" style="73" customWidth="1"/>
    <col min="14354" max="14354" width="8.85546875" style="73" customWidth="1"/>
    <col min="14355" max="14355" width="10" style="73" customWidth="1"/>
    <col min="14356" max="14356" width="8.28515625" style="73" customWidth="1"/>
    <col min="14357" max="14357" width="9.5703125" style="73" customWidth="1"/>
    <col min="14358" max="14358" width="15.5703125" style="73" customWidth="1"/>
    <col min="14359" max="14590" width="9.140625" style="73"/>
    <col min="14591" max="14591" width="6.85546875" style="73" customWidth="1"/>
    <col min="14592" max="14592" width="2.140625" style="73" customWidth="1"/>
    <col min="14593" max="14593" width="6.140625" style="73" customWidth="1"/>
    <col min="14594" max="14594" width="8.85546875" style="73" customWidth="1"/>
    <col min="14595" max="14595" width="28.42578125" style="73" customWidth="1"/>
    <col min="14596" max="14596" width="13.85546875" style="73" customWidth="1"/>
    <col min="14597" max="14597" width="8.42578125" style="73" customWidth="1"/>
    <col min="14598" max="14601" width="0" style="73" hidden="1" customWidth="1"/>
    <col min="14602" max="14602" width="5.28515625" style="73" customWidth="1"/>
    <col min="14603" max="14603" width="5.5703125" style="73" customWidth="1"/>
    <col min="14604" max="14604" width="6" style="73" customWidth="1"/>
    <col min="14605" max="14605" width="5.5703125" style="73" customWidth="1"/>
    <col min="14606" max="14607" width="5.7109375" style="73" customWidth="1"/>
    <col min="14608" max="14608" width="9.85546875" style="73" customWidth="1"/>
    <col min="14609" max="14609" width="9.7109375" style="73" customWidth="1"/>
    <col min="14610" max="14610" width="8.85546875" style="73" customWidth="1"/>
    <col min="14611" max="14611" width="10" style="73" customWidth="1"/>
    <col min="14612" max="14612" width="8.28515625" style="73" customWidth="1"/>
    <col min="14613" max="14613" width="9.5703125" style="73" customWidth="1"/>
    <col min="14614" max="14614" width="15.5703125" style="73" customWidth="1"/>
    <col min="14615" max="14846" width="9.140625" style="73"/>
    <col min="14847" max="14847" width="6.85546875" style="73" customWidth="1"/>
    <col min="14848" max="14848" width="2.140625" style="73" customWidth="1"/>
    <col min="14849" max="14849" width="6.140625" style="73" customWidth="1"/>
    <col min="14850" max="14850" width="8.85546875" style="73" customWidth="1"/>
    <col min="14851" max="14851" width="28.42578125" style="73" customWidth="1"/>
    <col min="14852" max="14852" width="13.85546875" style="73" customWidth="1"/>
    <col min="14853" max="14853" width="8.42578125" style="73" customWidth="1"/>
    <col min="14854" max="14857" width="0" style="73" hidden="1" customWidth="1"/>
    <col min="14858" max="14858" width="5.28515625" style="73" customWidth="1"/>
    <col min="14859" max="14859" width="5.5703125" style="73" customWidth="1"/>
    <col min="14860" max="14860" width="6" style="73" customWidth="1"/>
    <col min="14861" max="14861" width="5.5703125" style="73" customWidth="1"/>
    <col min="14862" max="14863" width="5.7109375" style="73" customWidth="1"/>
    <col min="14864" max="14864" width="9.85546875" style="73" customWidth="1"/>
    <col min="14865" max="14865" width="9.7109375" style="73" customWidth="1"/>
    <col min="14866" max="14866" width="8.85546875" style="73" customWidth="1"/>
    <col min="14867" max="14867" width="10" style="73" customWidth="1"/>
    <col min="14868" max="14868" width="8.28515625" style="73" customWidth="1"/>
    <col min="14869" max="14869" width="9.5703125" style="73" customWidth="1"/>
    <col min="14870" max="14870" width="15.5703125" style="73" customWidth="1"/>
    <col min="14871" max="15102" width="9.140625" style="73"/>
    <col min="15103" max="15103" width="6.85546875" style="73" customWidth="1"/>
    <col min="15104" max="15104" width="2.140625" style="73" customWidth="1"/>
    <col min="15105" max="15105" width="6.140625" style="73" customWidth="1"/>
    <col min="15106" max="15106" width="8.85546875" style="73" customWidth="1"/>
    <col min="15107" max="15107" width="28.42578125" style="73" customWidth="1"/>
    <col min="15108" max="15108" width="13.85546875" style="73" customWidth="1"/>
    <col min="15109" max="15109" width="8.42578125" style="73" customWidth="1"/>
    <col min="15110" max="15113" width="0" style="73" hidden="1" customWidth="1"/>
    <col min="15114" max="15114" width="5.28515625" style="73" customWidth="1"/>
    <col min="15115" max="15115" width="5.5703125" style="73" customWidth="1"/>
    <col min="15116" max="15116" width="6" style="73" customWidth="1"/>
    <col min="15117" max="15117" width="5.5703125" style="73" customWidth="1"/>
    <col min="15118" max="15119" width="5.7109375" style="73" customWidth="1"/>
    <col min="15120" max="15120" width="9.85546875" style="73" customWidth="1"/>
    <col min="15121" max="15121" width="9.7109375" style="73" customWidth="1"/>
    <col min="15122" max="15122" width="8.85546875" style="73" customWidth="1"/>
    <col min="15123" max="15123" width="10" style="73" customWidth="1"/>
    <col min="15124" max="15124" width="8.28515625" style="73" customWidth="1"/>
    <col min="15125" max="15125" width="9.5703125" style="73" customWidth="1"/>
    <col min="15126" max="15126" width="15.5703125" style="73" customWidth="1"/>
    <col min="15127" max="15358" width="9.140625" style="73"/>
    <col min="15359" max="15359" width="6.85546875" style="73" customWidth="1"/>
    <col min="15360" max="15360" width="2.140625" style="73" customWidth="1"/>
    <col min="15361" max="15361" width="6.140625" style="73" customWidth="1"/>
    <col min="15362" max="15362" width="8.85546875" style="73" customWidth="1"/>
    <col min="15363" max="15363" width="28.42578125" style="73" customWidth="1"/>
    <col min="15364" max="15364" width="13.85546875" style="73" customWidth="1"/>
    <col min="15365" max="15365" width="8.42578125" style="73" customWidth="1"/>
    <col min="15366" max="15369" width="0" style="73" hidden="1" customWidth="1"/>
    <col min="15370" max="15370" width="5.28515625" style="73" customWidth="1"/>
    <col min="15371" max="15371" width="5.5703125" style="73" customWidth="1"/>
    <col min="15372" max="15372" width="6" style="73" customWidth="1"/>
    <col min="15373" max="15373" width="5.5703125" style="73" customWidth="1"/>
    <col min="15374" max="15375" width="5.7109375" style="73" customWidth="1"/>
    <col min="15376" max="15376" width="9.85546875" style="73" customWidth="1"/>
    <col min="15377" max="15377" width="9.7109375" style="73" customWidth="1"/>
    <col min="15378" max="15378" width="8.85546875" style="73" customWidth="1"/>
    <col min="15379" max="15379" width="10" style="73" customWidth="1"/>
    <col min="15380" max="15380" width="8.28515625" style="73" customWidth="1"/>
    <col min="15381" max="15381" width="9.5703125" style="73" customWidth="1"/>
    <col min="15382" max="15382" width="15.5703125" style="73" customWidth="1"/>
    <col min="15383" max="15614" width="9.140625" style="73"/>
    <col min="15615" max="15615" width="6.85546875" style="73" customWidth="1"/>
    <col min="15616" max="15616" width="2.140625" style="73" customWidth="1"/>
    <col min="15617" max="15617" width="6.140625" style="73" customWidth="1"/>
    <col min="15618" max="15618" width="8.85546875" style="73" customWidth="1"/>
    <col min="15619" max="15619" width="28.42578125" style="73" customWidth="1"/>
    <col min="15620" max="15620" width="13.85546875" style="73" customWidth="1"/>
    <col min="15621" max="15621" width="8.42578125" style="73" customWidth="1"/>
    <col min="15622" max="15625" width="0" style="73" hidden="1" customWidth="1"/>
    <col min="15626" max="15626" width="5.28515625" style="73" customWidth="1"/>
    <col min="15627" max="15627" width="5.5703125" style="73" customWidth="1"/>
    <col min="15628" max="15628" width="6" style="73" customWidth="1"/>
    <col min="15629" max="15629" width="5.5703125" style="73" customWidth="1"/>
    <col min="15630" max="15631" width="5.7109375" style="73" customWidth="1"/>
    <col min="15632" max="15632" width="9.85546875" style="73" customWidth="1"/>
    <col min="15633" max="15633" width="9.7109375" style="73" customWidth="1"/>
    <col min="15634" max="15634" width="8.85546875" style="73" customWidth="1"/>
    <col min="15635" max="15635" width="10" style="73" customWidth="1"/>
    <col min="15636" max="15636" width="8.28515625" style="73" customWidth="1"/>
    <col min="15637" max="15637" width="9.5703125" style="73" customWidth="1"/>
    <col min="15638" max="15638" width="15.5703125" style="73" customWidth="1"/>
    <col min="15639" max="15870" width="9.140625" style="73"/>
    <col min="15871" max="15871" width="6.85546875" style="73" customWidth="1"/>
    <col min="15872" max="15872" width="2.140625" style="73" customWidth="1"/>
    <col min="15873" max="15873" width="6.140625" style="73" customWidth="1"/>
    <col min="15874" max="15874" width="8.85546875" style="73" customWidth="1"/>
    <col min="15875" max="15875" width="28.42578125" style="73" customWidth="1"/>
    <col min="15876" max="15876" width="13.85546875" style="73" customWidth="1"/>
    <col min="15877" max="15877" width="8.42578125" style="73" customWidth="1"/>
    <col min="15878" max="15881" width="0" style="73" hidden="1" customWidth="1"/>
    <col min="15882" max="15882" width="5.28515625" style="73" customWidth="1"/>
    <col min="15883" max="15883" width="5.5703125" style="73" customWidth="1"/>
    <col min="15884" max="15884" width="6" style="73" customWidth="1"/>
    <col min="15885" max="15885" width="5.5703125" style="73" customWidth="1"/>
    <col min="15886" max="15887" width="5.7109375" style="73" customWidth="1"/>
    <col min="15888" max="15888" width="9.85546875" style="73" customWidth="1"/>
    <col min="15889" max="15889" width="9.7109375" style="73" customWidth="1"/>
    <col min="15890" max="15890" width="8.85546875" style="73" customWidth="1"/>
    <col min="15891" max="15891" width="10" style="73" customWidth="1"/>
    <col min="15892" max="15892" width="8.28515625" style="73" customWidth="1"/>
    <col min="15893" max="15893" width="9.5703125" style="73" customWidth="1"/>
    <col min="15894" max="15894" width="15.5703125" style="73" customWidth="1"/>
    <col min="15895" max="16126" width="9.140625" style="73"/>
    <col min="16127" max="16127" width="6.85546875" style="73" customWidth="1"/>
    <col min="16128" max="16128" width="2.140625" style="73" customWidth="1"/>
    <col min="16129" max="16129" width="6.140625" style="73" customWidth="1"/>
    <col min="16130" max="16130" width="8.85546875" style="73" customWidth="1"/>
    <col min="16131" max="16131" width="28.42578125" style="73" customWidth="1"/>
    <col min="16132" max="16132" width="13.85546875" style="73" customWidth="1"/>
    <col min="16133" max="16133" width="8.42578125" style="73" customWidth="1"/>
    <col min="16134" max="16137" width="0" style="73" hidden="1" customWidth="1"/>
    <col min="16138" max="16138" width="5.28515625" style="73" customWidth="1"/>
    <col min="16139" max="16139" width="5.5703125" style="73" customWidth="1"/>
    <col min="16140" max="16140" width="6" style="73" customWidth="1"/>
    <col min="16141" max="16141" width="5.5703125" style="73" customWidth="1"/>
    <col min="16142" max="16143" width="5.7109375" style="73" customWidth="1"/>
    <col min="16144" max="16144" width="9.85546875" style="73" customWidth="1"/>
    <col min="16145" max="16145" width="9.7109375" style="73" customWidth="1"/>
    <col min="16146" max="16146" width="8.85546875" style="73" customWidth="1"/>
    <col min="16147" max="16147" width="10" style="73" customWidth="1"/>
    <col min="16148" max="16148" width="8.28515625" style="73" customWidth="1"/>
    <col min="16149" max="16149" width="9.5703125" style="73" customWidth="1"/>
    <col min="16150" max="16150" width="15.5703125" style="73" customWidth="1"/>
    <col min="16151" max="16384" width="9.140625" style="73"/>
  </cols>
  <sheetData>
    <row r="1" spans="1:34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  <c r="AB1" s="1"/>
      <c r="AC1" s="1"/>
      <c r="AD1" s="1"/>
    </row>
    <row r="2" spans="1:34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  <c r="AB2" s="2"/>
      <c r="AC2" s="2"/>
      <c r="AD2" s="2"/>
    </row>
    <row r="3" spans="1:34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  <c r="AB3" s="2"/>
      <c r="AC3" s="2"/>
      <c r="AD3" s="2"/>
    </row>
    <row r="4" spans="1:34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4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4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  <c r="AB6" s="4"/>
      <c r="AC6" s="4"/>
    </row>
    <row r="7" spans="1:34" s="6" customFormat="1" ht="18.75" customHeight="1">
      <c r="A7" s="5" t="s">
        <v>6</v>
      </c>
      <c r="C7" s="7"/>
      <c r="D7" s="7" t="s">
        <v>37</v>
      </c>
      <c r="E7" s="7"/>
      <c r="F7" s="7"/>
      <c r="G7" s="5"/>
    </row>
    <row r="8" spans="1:34" s="8" customFormat="1" ht="18.75" customHeight="1">
      <c r="A8" s="5" t="s">
        <v>7</v>
      </c>
      <c r="C8" s="9"/>
      <c r="D8" s="10">
        <v>1175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4" s="8" customFormat="1" ht="18.75" customHeight="1">
      <c r="A9" s="12"/>
      <c r="C9" s="81"/>
      <c r="D9" s="13" t="s">
        <v>39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8" customFormat="1" ht="18.75" customHeight="1">
      <c r="A10" s="12"/>
      <c r="C10" s="81"/>
      <c r="D10" s="15" t="s">
        <v>41</v>
      </c>
      <c r="E10" s="15"/>
      <c r="F10" s="14"/>
      <c r="G10" s="10" t="s">
        <v>38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8" customFormat="1" ht="18.75" customHeight="1">
      <c r="A11" s="12"/>
      <c r="C11" s="81"/>
      <c r="D11" s="16"/>
      <c r="E11" s="16"/>
      <c r="F11" s="14"/>
      <c r="G11" s="10"/>
      <c r="H11" s="7" t="s">
        <v>42</v>
      </c>
      <c r="I11" s="6"/>
      <c r="J11" s="6"/>
      <c r="K11" s="6"/>
      <c r="L11" s="6"/>
      <c r="M11" s="6"/>
      <c r="N11" s="6"/>
      <c r="O11" s="6"/>
      <c r="P11" s="6"/>
      <c r="Q11" s="6" t="s">
        <v>8</v>
      </c>
      <c r="R11" s="6"/>
      <c r="S11" s="6"/>
      <c r="T11" s="6"/>
      <c r="U11" s="6"/>
    </row>
    <row r="12" spans="1:34" s="8" customFormat="1" ht="18.75" customHeight="1" thickBot="1">
      <c r="A12" s="12" t="s">
        <v>9</v>
      </c>
      <c r="C12" s="250">
        <f>+R22</f>
        <v>6</v>
      </c>
      <c r="D12" s="250"/>
      <c r="E12" s="81"/>
      <c r="F12" s="14"/>
      <c r="G12" s="10"/>
      <c r="H12" s="17" t="s">
        <v>10</v>
      </c>
      <c r="I12" s="17"/>
      <c r="J12" s="6"/>
      <c r="K12" s="6"/>
      <c r="L12" s="6"/>
      <c r="M12" s="6"/>
      <c r="N12" s="6"/>
      <c r="O12" s="6"/>
      <c r="P12" s="6"/>
      <c r="Q12" s="18" t="str">
        <f>+D9</f>
        <v>Classic Navy Blazer</v>
      </c>
      <c r="R12" s="19"/>
      <c r="S12" s="19"/>
      <c r="T12" s="19"/>
      <c r="U12" s="19"/>
    </row>
    <row r="13" spans="1:34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19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25</v>
      </c>
      <c r="Y13" s="239"/>
      <c r="Z13" s="240"/>
      <c r="AA13" s="224" t="s">
        <v>26</v>
      </c>
    </row>
    <row r="14" spans="1:34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14</v>
      </c>
      <c r="L14" s="227">
        <v>16</v>
      </c>
      <c r="M14" s="227">
        <v>18</v>
      </c>
      <c r="N14" s="215">
        <v>20</v>
      </c>
      <c r="O14" s="217" t="s">
        <v>27</v>
      </c>
      <c r="P14" s="211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</row>
    <row r="15" spans="1:34" s="22" customFormat="1" ht="24" customHeight="1" thickBot="1">
      <c r="A15" s="257"/>
      <c r="B15" s="258"/>
      <c r="C15" s="259"/>
      <c r="D15" s="262"/>
      <c r="E15" s="262"/>
      <c r="F15" s="265"/>
      <c r="G15" s="265"/>
      <c r="H15" s="246"/>
      <c r="I15" s="228"/>
      <c r="J15" s="228">
        <v>10</v>
      </c>
      <c r="K15" s="228"/>
      <c r="L15" s="228">
        <v>10</v>
      </c>
      <c r="M15" s="228">
        <v>10</v>
      </c>
      <c r="N15" s="216"/>
      <c r="O15" s="21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26" t="s">
        <v>4</v>
      </c>
      <c r="Y15" s="26" t="s">
        <v>30</v>
      </c>
      <c r="Z15" s="26" t="s">
        <v>31</v>
      </c>
      <c r="AA15" s="226"/>
    </row>
    <row r="16" spans="1:34" s="42" customFormat="1" ht="27.75" customHeight="1">
      <c r="A16" s="27">
        <v>3</v>
      </c>
      <c r="B16" s="28" t="s">
        <v>32</v>
      </c>
      <c r="C16" s="27">
        <f t="shared" ref="C16:C20" si="0">+A16+D16-1</f>
        <v>3</v>
      </c>
      <c r="D16" s="29">
        <f t="shared" ref="D16:D21" si="1">+R16/Q16</f>
        <v>1</v>
      </c>
      <c r="E16" s="84" t="s">
        <v>43</v>
      </c>
      <c r="F16" s="28" t="str">
        <f>+$D$7</f>
        <v>T821096</v>
      </c>
      <c r="G16" s="28" t="s">
        <v>36</v>
      </c>
      <c r="H16" s="30">
        <f>+D8</f>
        <v>1175</v>
      </c>
      <c r="I16" s="31">
        <v>6</v>
      </c>
      <c r="J16" s="31"/>
      <c r="K16" s="31"/>
      <c r="L16" s="31"/>
      <c r="M16" s="31"/>
      <c r="N16" s="30"/>
      <c r="O16" s="30"/>
      <c r="P16" s="30"/>
      <c r="Q16" s="28">
        <f>+SUM(I16:P16)</f>
        <v>6</v>
      </c>
      <c r="R16" s="28">
        <v>6</v>
      </c>
      <c r="S16" s="32">
        <v>0.2</v>
      </c>
      <c r="T16" s="32">
        <v>0.3</v>
      </c>
      <c r="U16" s="33">
        <f>+S16*D16*Q16</f>
        <v>1.2000000000000002</v>
      </c>
      <c r="V16" s="34">
        <f>+T16*D16*Q16</f>
        <v>1.7999999999999998</v>
      </c>
      <c r="W16" s="82">
        <f>+ROUND(D16*X16*Y16*Z16/1000000,3)</f>
        <v>6.2E-2</v>
      </c>
      <c r="X16" s="37">
        <v>76</v>
      </c>
      <c r="Y16" s="38">
        <v>39</v>
      </c>
      <c r="Z16" s="37">
        <v>21</v>
      </c>
      <c r="AA16" s="36" t="s">
        <v>40</v>
      </c>
      <c r="AB16" s="39" t="str">
        <f>+RIGHT((E1:E16),6)</f>
        <v>243370</v>
      </c>
      <c r="AC16" s="40">
        <f t="shared" ref="AC16:AC21" si="2">+AB16-D16+1</f>
        <v>243370</v>
      </c>
      <c r="AD16" s="41">
        <f>+AB16-AC16+1</f>
        <v>1</v>
      </c>
      <c r="AE16" s="41">
        <f t="shared" ref="AE16:AE21" si="3">+AD16-D16</f>
        <v>0</v>
      </c>
    </row>
    <row r="17" spans="1:31" s="42" customFormat="1" ht="27.75" hidden="1" customHeight="1">
      <c r="A17" s="27">
        <f>+C16+1</f>
        <v>4</v>
      </c>
      <c r="B17" s="28" t="s">
        <v>32</v>
      </c>
      <c r="C17" s="27">
        <f t="shared" si="0"/>
        <v>3</v>
      </c>
      <c r="D17" s="29">
        <f t="shared" si="1"/>
        <v>0</v>
      </c>
      <c r="E17" s="29"/>
      <c r="F17" s="28" t="str">
        <f t="shared" ref="F17:F21" si="4">+$D$7</f>
        <v>T821096</v>
      </c>
      <c r="G17" s="28" t="str">
        <f>+G16</f>
        <v>410 NAVY</v>
      </c>
      <c r="H17" s="30">
        <f>+H16</f>
        <v>1175</v>
      </c>
      <c r="I17" s="31">
        <v>6</v>
      </c>
      <c r="J17" s="31"/>
      <c r="K17" s="31"/>
      <c r="L17" s="31"/>
      <c r="M17" s="31"/>
      <c r="N17" s="30"/>
      <c r="O17" s="30"/>
      <c r="P17" s="30"/>
      <c r="Q17" s="28">
        <f t="shared" ref="Q17:Q21" si="5">+SUM(I17:P17)</f>
        <v>6</v>
      </c>
      <c r="R17" s="28"/>
      <c r="S17" s="32">
        <f>+S16+0.05</f>
        <v>0.25</v>
      </c>
      <c r="T17" s="32">
        <f>+T16+0.05</f>
        <v>0.35</v>
      </c>
      <c r="U17" s="33">
        <f t="shared" ref="U17:U21" si="6">+S17*D17*Q17</f>
        <v>0</v>
      </c>
      <c r="V17" s="34">
        <f t="shared" ref="V17:V21" si="7">+T17*D17*Q17</f>
        <v>0</v>
      </c>
      <c r="W17" s="35"/>
      <c r="X17" s="37"/>
      <c r="Y17" s="38"/>
      <c r="Z17" s="37"/>
      <c r="AA17" s="36"/>
      <c r="AB17" s="39" t="str">
        <f>+RIGHT((E2:E17),6)</f>
        <v/>
      </c>
      <c r="AC17" s="40" t="e">
        <f t="shared" si="2"/>
        <v>#VALUE!</v>
      </c>
      <c r="AD17" s="41" t="e">
        <f t="shared" ref="AD17:AD21" si="8">+AB17-AC17+1</f>
        <v>#VALUE!</v>
      </c>
      <c r="AE17" s="41" t="e">
        <f t="shared" si="3"/>
        <v>#VALUE!</v>
      </c>
    </row>
    <row r="18" spans="1:31" s="42" customFormat="1" ht="27.75" hidden="1" customHeight="1">
      <c r="A18" s="27">
        <f t="shared" ref="A18:A20" si="9">+C17+1</f>
        <v>4</v>
      </c>
      <c r="B18" s="28" t="s">
        <v>32</v>
      </c>
      <c r="C18" s="27">
        <f t="shared" si="0"/>
        <v>3</v>
      </c>
      <c r="D18" s="29">
        <f t="shared" si="1"/>
        <v>0</v>
      </c>
      <c r="E18" s="29"/>
      <c r="F18" s="28" t="str">
        <f t="shared" si="4"/>
        <v>T821096</v>
      </c>
      <c r="G18" s="28" t="str">
        <f t="shared" ref="G18" si="10">+G17</f>
        <v>410 NAVY</v>
      </c>
      <c r="H18" s="30">
        <f>+$H$16</f>
        <v>1175</v>
      </c>
      <c r="I18" s="31"/>
      <c r="J18" s="31">
        <v>12</v>
      </c>
      <c r="K18" s="31"/>
      <c r="L18" s="31"/>
      <c r="M18" s="31"/>
      <c r="N18" s="30"/>
      <c r="O18" s="30"/>
      <c r="P18" s="30"/>
      <c r="Q18" s="28">
        <f t="shared" si="5"/>
        <v>12</v>
      </c>
      <c r="R18" s="28"/>
      <c r="S18" s="32">
        <f t="shared" ref="S18:T18" si="11">+S17+0.05</f>
        <v>0.3</v>
      </c>
      <c r="T18" s="32">
        <f t="shared" si="11"/>
        <v>0.39999999999999997</v>
      </c>
      <c r="U18" s="33">
        <f t="shared" si="6"/>
        <v>0</v>
      </c>
      <c r="V18" s="34">
        <f t="shared" si="7"/>
        <v>0</v>
      </c>
      <c r="W18" s="35"/>
      <c r="X18" s="37"/>
      <c r="Y18" s="38"/>
      <c r="Z18" s="37"/>
      <c r="AA18" s="36"/>
      <c r="AB18" s="39" t="str">
        <f>+RIGHT((E3:E18),6)</f>
        <v/>
      </c>
      <c r="AC18" s="40" t="e">
        <f t="shared" si="2"/>
        <v>#VALUE!</v>
      </c>
      <c r="AD18" s="41" t="e">
        <f t="shared" si="8"/>
        <v>#VALUE!</v>
      </c>
      <c r="AE18" s="41" t="e">
        <f t="shared" si="3"/>
        <v>#VALUE!</v>
      </c>
    </row>
    <row r="19" spans="1:31" s="42" customFormat="1" ht="27.75" hidden="1" customHeight="1">
      <c r="A19" s="27">
        <f t="shared" si="9"/>
        <v>4</v>
      </c>
      <c r="B19" s="28" t="s">
        <v>32</v>
      </c>
      <c r="C19" s="27">
        <f t="shared" si="0"/>
        <v>3</v>
      </c>
      <c r="D19" s="29">
        <f t="shared" si="1"/>
        <v>0</v>
      </c>
      <c r="E19" s="29"/>
      <c r="F19" s="28" t="str">
        <f t="shared" si="4"/>
        <v>T821096</v>
      </c>
      <c r="G19" s="28" t="str">
        <f>+G17</f>
        <v>410 NAVY</v>
      </c>
      <c r="H19" s="30">
        <f t="shared" ref="H19:H21" si="12">+$H$16</f>
        <v>1175</v>
      </c>
      <c r="I19" s="31"/>
      <c r="J19" s="31"/>
      <c r="K19" s="31"/>
      <c r="L19" s="31">
        <v>12</v>
      </c>
      <c r="M19" s="31"/>
      <c r="N19" s="30"/>
      <c r="O19" s="30"/>
      <c r="P19" s="30"/>
      <c r="Q19" s="28">
        <f t="shared" si="5"/>
        <v>12</v>
      </c>
      <c r="R19" s="28"/>
      <c r="S19" s="32">
        <f>+S17+0.05</f>
        <v>0.3</v>
      </c>
      <c r="T19" s="32">
        <f>+T17+0.05</f>
        <v>0.39999999999999997</v>
      </c>
      <c r="U19" s="33">
        <f t="shared" si="6"/>
        <v>0</v>
      </c>
      <c r="V19" s="34">
        <f t="shared" si="7"/>
        <v>0</v>
      </c>
      <c r="W19" s="35"/>
      <c r="X19" s="37"/>
      <c r="Y19" s="38"/>
      <c r="Z19" s="37"/>
      <c r="AA19" s="36"/>
      <c r="AB19" s="39" t="str">
        <f>+RIGHT((E2:E19),6)</f>
        <v/>
      </c>
      <c r="AC19" s="40" t="e">
        <f t="shared" si="2"/>
        <v>#VALUE!</v>
      </c>
      <c r="AD19" s="41" t="e">
        <f t="shared" si="8"/>
        <v>#VALUE!</v>
      </c>
      <c r="AE19" s="41" t="e">
        <f t="shared" si="3"/>
        <v>#VALUE!</v>
      </c>
    </row>
    <row r="20" spans="1:31" s="42" customFormat="1" ht="27.75" hidden="1" customHeight="1">
      <c r="A20" s="27">
        <f t="shared" si="9"/>
        <v>4</v>
      </c>
      <c r="B20" s="28" t="s">
        <v>32</v>
      </c>
      <c r="C20" s="27">
        <f t="shared" si="0"/>
        <v>3</v>
      </c>
      <c r="D20" s="29">
        <f t="shared" si="1"/>
        <v>0</v>
      </c>
      <c r="E20" s="29"/>
      <c r="F20" s="28" t="str">
        <f t="shared" si="4"/>
        <v>T821096</v>
      </c>
      <c r="G20" s="28" t="str">
        <f>+G17</f>
        <v>410 NAVY</v>
      </c>
      <c r="H20" s="30">
        <f t="shared" si="12"/>
        <v>1175</v>
      </c>
      <c r="I20" s="31"/>
      <c r="J20" s="31"/>
      <c r="K20" s="31"/>
      <c r="L20" s="31"/>
      <c r="M20" s="31">
        <v>12</v>
      </c>
      <c r="N20" s="30"/>
      <c r="O20" s="30"/>
      <c r="P20" s="30"/>
      <c r="Q20" s="28">
        <f t="shared" si="5"/>
        <v>12</v>
      </c>
      <c r="R20" s="28"/>
      <c r="S20" s="32">
        <f>+S17+0.05</f>
        <v>0.3</v>
      </c>
      <c r="T20" s="32">
        <f>+T17+0.05</f>
        <v>0.39999999999999997</v>
      </c>
      <c r="U20" s="33">
        <f t="shared" si="6"/>
        <v>0</v>
      </c>
      <c r="V20" s="34">
        <f t="shared" si="7"/>
        <v>0</v>
      </c>
      <c r="W20" s="35"/>
      <c r="X20" s="37"/>
      <c r="Y20" s="38"/>
      <c r="Z20" s="37"/>
      <c r="AA20" s="36"/>
      <c r="AB20" s="39" t="str">
        <f>+RIGHT((E2:E20),6)</f>
        <v/>
      </c>
      <c r="AC20" s="40" t="e">
        <f t="shared" si="2"/>
        <v>#VALUE!</v>
      </c>
      <c r="AD20" s="41" t="e">
        <f t="shared" si="8"/>
        <v>#VALUE!</v>
      </c>
      <c r="AE20" s="41" t="e">
        <f t="shared" si="3"/>
        <v>#VALUE!</v>
      </c>
    </row>
    <row r="21" spans="1:31" s="42" customFormat="1" ht="27.75" hidden="1" customHeight="1">
      <c r="A21" s="27">
        <v>1</v>
      </c>
      <c r="B21" s="28" t="s">
        <v>32</v>
      </c>
      <c r="C21" s="27">
        <v>2</v>
      </c>
      <c r="D21" s="29">
        <f t="shared" si="1"/>
        <v>0</v>
      </c>
      <c r="E21" s="43">
        <v>192042384269</v>
      </c>
      <c r="F21" s="28" t="str">
        <f t="shared" si="4"/>
        <v>T821096</v>
      </c>
      <c r="G21" s="28" t="s">
        <v>36</v>
      </c>
      <c r="H21" s="30">
        <f t="shared" si="12"/>
        <v>1175</v>
      </c>
      <c r="I21" s="31"/>
      <c r="J21" s="31">
        <v>12</v>
      </c>
      <c r="K21" s="31"/>
      <c r="L21" s="31"/>
      <c r="M21" s="31"/>
      <c r="N21" s="31"/>
      <c r="O21" s="30"/>
      <c r="P21" s="30"/>
      <c r="Q21" s="28">
        <f t="shared" si="5"/>
        <v>12</v>
      </c>
      <c r="R21" s="28"/>
      <c r="S21" s="32">
        <f>+S18+0.05</f>
        <v>0.35</v>
      </c>
      <c r="T21" s="32">
        <f>+T18+0.05</f>
        <v>0.44999999999999996</v>
      </c>
      <c r="U21" s="33">
        <f t="shared" si="6"/>
        <v>0</v>
      </c>
      <c r="V21" s="34">
        <f t="shared" si="7"/>
        <v>0</v>
      </c>
      <c r="W21" s="35">
        <f>0.97*0.51*0.28*D21</f>
        <v>0</v>
      </c>
      <c r="X21" s="37">
        <v>97</v>
      </c>
      <c r="Y21" s="38">
        <v>51</v>
      </c>
      <c r="Z21" s="37">
        <v>28</v>
      </c>
      <c r="AA21" s="36"/>
      <c r="AB21" s="39" t="str">
        <f>+RIGHT((E3:E21),6)</f>
        <v>384269</v>
      </c>
      <c r="AC21" s="40">
        <f t="shared" si="2"/>
        <v>384270</v>
      </c>
      <c r="AD21" s="41">
        <f t="shared" si="8"/>
        <v>0</v>
      </c>
      <c r="AE21" s="41">
        <f t="shared" si="3"/>
        <v>0</v>
      </c>
    </row>
    <row r="22" spans="1:31" s="42" customFormat="1" ht="24" customHeight="1">
      <c r="A22" s="219" t="s">
        <v>33</v>
      </c>
      <c r="B22" s="220"/>
      <c r="C22" s="221"/>
      <c r="D22" s="44">
        <f>SUM(D16:D21)</f>
        <v>1</v>
      </c>
      <c r="E22" s="45"/>
      <c r="F22" s="45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4">
        <f>SUM(R16:R21)</f>
        <v>6</v>
      </c>
      <c r="S22" s="49"/>
      <c r="T22" s="49"/>
      <c r="U22" s="50">
        <f>SUM(U16:U21)</f>
        <v>1.2000000000000002</v>
      </c>
      <c r="V22" s="50">
        <f>SUM(V16:V21)</f>
        <v>1.7999999999999998</v>
      </c>
      <c r="W22" s="51">
        <f>SUBTOTAL(9,W21)</f>
        <v>0</v>
      </c>
      <c r="X22" s="52"/>
      <c r="Y22" s="3"/>
      <c r="Z22" s="53"/>
      <c r="AA22" s="8"/>
      <c r="AB22" s="8"/>
    </row>
    <row r="23" spans="1:31" s="42" customFormat="1" ht="12.75" customHeight="1">
      <c r="A23" s="54"/>
      <c r="B23" s="22"/>
      <c r="C23" s="22"/>
      <c r="D23" s="55"/>
      <c r="E23" s="55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57"/>
      <c r="S23" s="22"/>
      <c r="T23" s="22"/>
      <c r="U23" s="57"/>
      <c r="V23" s="57"/>
      <c r="W23" s="58"/>
      <c r="X23" s="3"/>
      <c r="Y23" s="3"/>
      <c r="Z23" s="53"/>
      <c r="AA23" s="8"/>
      <c r="AB23" s="8"/>
    </row>
    <row r="24" spans="1:31" s="42" customFormat="1" ht="21.75" customHeight="1">
      <c r="A24" s="54"/>
      <c r="B24" s="22"/>
      <c r="C24" s="22"/>
      <c r="D24" s="55"/>
      <c r="E24" s="55"/>
      <c r="F24" s="55"/>
      <c r="G24" s="59" t="s">
        <v>34</v>
      </c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0"/>
      <c r="S24" s="22"/>
      <c r="T24" s="56"/>
      <c r="U24" s="57"/>
      <c r="V24" s="57"/>
      <c r="W24" s="61"/>
      <c r="X24" s="3"/>
      <c r="Y24" s="3"/>
      <c r="Z24" s="53"/>
      <c r="AA24" s="8"/>
      <c r="AB24" s="8"/>
    </row>
    <row r="25" spans="1:31" s="64" customFormat="1" ht="21.75" customHeight="1">
      <c r="A25" s="62"/>
      <c r="B25" s="62"/>
      <c r="C25" s="62"/>
      <c r="D25" s="62"/>
      <c r="E25" s="62"/>
      <c r="F25" s="222" t="str">
        <f>+F13</f>
        <v>STYLE</v>
      </c>
      <c r="G25" s="222" t="s">
        <v>15</v>
      </c>
      <c r="H25" s="222" t="str">
        <f>+H13</f>
        <v>Po#</v>
      </c>
      <c r="I25" s="213">
        <f>+I14</f>
        <v>8</v>
      </c>
      <c r="J25" s="213">
        <f>+J14</f>
        <v>10</v>
      </c>
      <c r="K25" s="213">
        <f>+K14</f>
        <v>14</v>
      </c>
      <c r="L25" s="213">
        <f>+L14</f>
        <v>16</v>
      </c>
      <c r="M25" s="213">
        <f>+M14</f>
        <v>18</v>
      </c>
      <c r="N25" s="215">
        <v>20</v>
      </c>
      <c r="O25" s="217" t="s">
        <v>27</v>
      </c>
      <c r="P25" s="211" t="s">
        <v>28</v>
      </c>
      <c r="Q25" s="222" t="s">
        <v>35</v>
      </c>
      <c r="R25" s="63"/>
      <c r="S25" s="62"/>
      <c r="T25" s="62"/>
      <c r="U25" s="62"/>
      <c r="V25" s="62"/>
      <c r="W25" s="61"/>
      <c r="AA25" s="12"/>
      <c r="AB25" s="12"/>
    </row>
    <row r="26" spans="1:31" s="64" customFormat="1" ht="20.25" customHeight="1" thickBot="1">
      <c r="B26" s="65"/>
      <c r="C26" s="65"/>
      <c r="D26" s="66"/>
      <c r="E26" s="66"/>
      <c r="F26" s="223"/>
      <c r="G26" s="223"/>
      <c r="H26" s="223"/>
      <c r="I26" s="214"/>
      <c r="J26" s="214">
        <f>+J14</f>
        <v>10</v>
      </c>
      <c r="K26" s="214"/>
      <c r="L26" s="214">
        <f>+L14</f>
        <v>16</v>
      </c>
      <c r="M26" s="214">
        <f>+M14</f>
        <v>18</v>
      </c>
      <c r="N26" s="216"/>
      <c r="O26" s="218"/>
      <c r="P26" s="212"/>
      <c r="Q26" s="223"/>
      <c r="R26" s="65"/>
      <c r="S26" s="65"/>
      <c r="T26" s="65"/>
      <c r="U26" s="65"/>
      <c r="V26" s="65"/>
      <c r="AA26" s="12"/>
      <c r="AB26" s="12"/>
    </row>
    <row r="27" spans="1:31" s="64" customFormat="1" ht="23.25" customHeight="1">
      <c r="B27" s="65"/>
      <c r="C27" s="65"/>
      <c r="D27" s="65"/>
      <c r="E27" s="65"/>
      <c r="F27" s="67" t="str">
        <f>+F16</f>
        <v>T821096</v>
      </c>
      <c r="G27" s="67" t="str">
        <f>+G16</f>
        <v>410 NAVY</v>
      </c>
      <c r="H27" s="68">
        <f>+H16</f>
        <v>1175</v>
      </c>
      <c r="I27" s="69">
        <f>+R16</f>
        <v>6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70"/>
      <c r="P27" s="70"/>
      <c r="Q27" s="71">
        <f>SUM(I27:P27)</f>
        <v>6</v>
      </c>
      <c r="R27" s="62"/>
      <c r="S27" s="62"/>
      <c r="T27" s="62"/>
      <c r="U27" s="62"/>
      <c r="V27" s="62"/>
      <c r="W27" s="61"/>
      <c r="AA27" s="12"/>
      <c r="AB27" s="12"/>
    </row>
    <row r="28" spans="1:31" s="64" customFormat="1" ht="23.25" hidden="1" customHeight="1">
      <c r="B28" s="65"/>
      <c r="C28" s="65"/>
      <c r="D28" s="65"/>
      <c r="E28" s="65"/>
      <c r="F28" s="67" t="str">
        <f>+F16</f>
        <v>T821096</v>
      </c>
      <c r="G28" s="67" t="str">
        <f>+G16</f>
        <v>410 NAVY</v>
      </c>
      <c r="H28" s="68">
        <f>+H16</f>
        <v>1175</v>
      </c>
      <c r="I28" s="69">
        <v>0</v>
      </c>
      <c r="J28" s="69"/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1">
        <f>SUM(I28:P28)</f>
        <v>0</v>
      </c>
      <c r="R28" s="62"/>
      <c r="S28" s="62"/>
      <c r="T28" s="62"/>
      <c r="U28" s="62"/>
      <c r="V28" s="62"/>
      <c r="W28" s="61"/>
      <c r="AA28" s="12"/>
      <c r="AB28" s="12"/>
    </row>
    <row r="29" spans="1:31" s="64" customFormat="1" ht="19.5" customHeight="1">
      <c r="A29" s="62"/>
      <c r="B29" s="62"/>
      <c r="C29" s="62"/>
      <c r="D29" s="62"/>
      <c r="E29" s="62"/>
      <c r="F29" s="62"/>
      <c r="G29" s="72" t="s">
        <v>33</v>
      </c>
      <c r="H29" s="68"/>
      <c r="I29" s="71">
        <f t="shared" ref="I29:N29" si="13">SUM(I27:I27)</f>
        <v>6</v>
      </c>
      <c r="J29" s="71">
        <f t="shared" si="13"/>
        <v>0</v>
      </c>
      <c r="K29" s="71">
        <f t="shared" si="13"/>
        <v>0</v>
      </c>
      <c r="L29" s="71">
        <f t="shared" si="13"/>
        <v>0</v>
      </c>
      <c r="M29" s="71">
        <f t="shared" si="13"/>
        <v>0</v>
      </c>
      <c r="N29" s="71">
        <f t="shared" si="13"/>
        <v>0</v>
      </c>
      <c r="O29" s="71"/>
      <c r="P29" s="71"/>
      <c r="Q29" s="71">
        <f>SUM(I29:P29)</f>
        <v>6</v>
      </c>
      <c r="R29" s="62"/>
      <c r="S29" s="63"/>
      <c r="T29" s="62"/>
      <c r="U29" s="62"/>
      <c r="V29" s="62"/>
      <c r="W29" s="61"/>
    </row>
    <row r="30" spans="1:31">
      <c r="V30" s="74"/>
    </row>
    <row r="31" spans="1:31">
      <c r="K31" s="74" t="s">
        <v>0</v>
      </c>
    </row>
    <row r="33" spans="7:21">
      <c r="R33" s="75"/>
      <c r="S33" s="76"/>
      <c r="T33" s="76"/>
      <c r="U33" s="76"/>
    </row>
    <row r="34" spans="7:21">
      <c r="R34" s="76"/>
      <c r="S34" s="76"/>
      <c r="T34" s="76"/>
      <c r="U34" s="76"/>
    </row>
    <row r="35" spans="7:21">
      <c r="R35" s="76"/>
      <c r="S35" s="76"/>
      <c r="T35" s="76"/>
      <c r="U35" s="76"/>
    </row>
    <row r="36" spans="7:21">
      <c r="G36" s="77"/>
      <c r="R36" s="76"/>
      <c r="S36" s="76"/>
      <c r="T36" s="76"/>
      <c r="U36" s="76"/>
    </row>
    <row r="37" spans="7:21">
      <c r="G37" s="78"/>
      <c r="R37" s="76"/>
      <c r="S37" s="76"/>
      <c r="T37" s="76"/>
      <c r="U37" s="76"/>
    </row>
    <row r="38" spans="7:21">
      <c r="G38" s="77"/>
      <c r="H38" s="77"/>
      <c r="S38" s="76"/>
      <c r="T38" s="76"/>
      <c r="U38" s="76"/>
    </row>
  </sheetData>
  <autoFilter ref="A15:DH21">
    <filterColumn colId="0" showButton="0"/>
    <filterColumn colId="1" showButton="0"/>
    <filterColumn colId="17">
      <customFilters>
        <customFilter operator="notEqual" val=" "/>
      </customFilters>
    </filterColumn>
  </autoFilter>
  <mergeCells count="39">
    <mergeCell ref="H13:H15"/>
    <mergeCell ref="A1:Z1"/>
    <mergeCell ref="A2:Z2"/>
    <mergeCell ref="A3:Z3"/>
    <mergeCell ref="A4:Z4"/>
    <mergeCell ref="A6:Z6"/>
    <mergeCell ref="C12:D12"/>
    <mergeCell ref="A13:C15"/>
    <mergeCell ref="D13:D15"/>
    <mergeCell ref="E13:E15"/>
    <mergeCell ref="F13:F15"/>
    <mergeCell ref="G13:G15"/>
    <mergeCell ref="J25:J26"/>
    <mergeCell ref="AA13:AA15"/>
    <mergeCell ref="I14:I15"/>
    <mergeCell ref="J14:J15"/>
    <mergeCell ref="K14:K15"/>
    <mergeCell ref="L14:L15"/>
    <mergeCell ref="M14:M15"/>
    <mergeCell ref="N14:N15"/>
    <mergeCell ref="O14:O15"/>
    <mergeCell ref="P14:P15"/>
    <mergeCell ref="I13:P13"/>
    <mergeCell ref="Q13:Q15"/>
    <mergeCell ref="R13:R15"/>
    <mergeCell ref="W13:W15"/>
    <mergeCell ref="X13:Z14"/>
    <mergeCell ref="Q25:Q26"/>
    <mergeCell ref="A22:C22"/>
    <mergeCell ref="F25:F26"/>
    <mergeCell ref="G25:G26"/>
    <mergeCell ref="H25:H26"/>
    <mergeCell ref="I25:I26"/>
    <mergeCell ref="P25:P26"/>
    <mergeCell ref="K25:K26"/>
    <mergeCell ref="L25:L26"/>
    <mergeCell ref="M25:M26"/>
    <mergeCell ref="N25:N26"/>
    <mergeCell ref="O25:O26"/>
  </mergeCells>
  <printOptions horizontalCentered="1"/>
  <pageMargins left="0" right="0" top="0" bottom="0" header="0" footer="0"/>
  <pageSetup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2"/>
  <sheetViews>
    <sheetView zoomScale="80" zoomScaleNormal="80" zoomScaleSheetLayoutView="73" workbookViewId="0">
      <pane xSplit="8" ySplit="15" topLeftCell="I18" activePane="bottomRight" state="frozen"/>
      <selection pane="topRight" activeCell="H1" sqref="H1"/>
      <selection pane="bottomLeft" activeCell="A13" sqref="A13"/>
      <selection pane="bottomRight" activeCell="W23" sqref="W23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10" t="s">
        <v>126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4500498790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117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13" t="s">
        <v>121</v>
      </c>
      <c r="E10" s="15"/>
      <c r="F10" s="14"/>
      <c r="G10" s="10" t="s">
        <v>115</v>
      </c>
      <c r="H10" s="7" t="s">
        <v>42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1176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11" t="s">
        <v>120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25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67"/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6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1" si="0">+A16+D16-1</f>
        <v>40</v>
      </c>
      <c r="D16" s="27">
        <f t="shared" ref="D16:D21" si="1">+R16/Q16</f>
        <v>40</v>
      </c>
      <c r="E16" s="28"/>
      <c r="F16" s="83" t="s">
        <v>126</v>
      </c>
      <c r="G16" s="28" t="s">
        <v>123</v>
      </c>
      <c r="H16" s="30">
        <f>+D8</f>
        <v>4500498790</v>
      </c>
      <c r="I16" s="31">
        <v>6</v>
      </c>
      <c r="J16" s="31"/>
      <c r="K16" s="31"/>
      <c r="L16" s="31"/>
      <c r="M16" s="31"/>
      <c r="N16" s="30"/>
      <c r="O16" s="30"/>
      <c r="P16" s="30"/>
      <c r="Q16" s="28">
        <f t="shared" ref="Q16:Q21" si="2">+SUM(I16:P16)</f>
        <v>6</v>
      </c>
      <c r="R16" s="28">
        <v>240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1.6160000000000001</v>
      </c>
      <c r="X16" s="94">
        <v>73.66</v>
      </c>
      <c r="Y16" s="94">
        <v>43.18</v>
      </c>
      <c r="Z16" s="94">
        <v>12.7</v>
      </c>
      <c r="AA16" s="109" t="s">
        <v>128</v>
      </c>
      <c r="AB16" s="42" t="s">
        <v>118</v>
      </c>
      <c r="AD16" s="42">
        <f>0.4191*2+0.3366*4+0.12*12</f>
        <v>3.6246</v>
      </c>
      <c r="AE16" s="42">
        <f t="shared" ref="AE16:AE21" si="3">AD16*D16</f>
        <v>144.98400000000001</v>
      </c>
    </row>
    <row r="17" spans="1:32" s="42" customFormat="1" ht="27.75" customHeight="1">
      <c r="A17" s="27">
        <f>+C16+1</f>
        <v>41</v>
      </c>
      <c r="B17" s="28" t="s">
        <v>32</v>
      </c>
      <c r="C17" s="27">
        <f t="shared" si="0"/>
        <v>60</v>
      </c>
      <c r="D17" s="27">
        <f t="shared" si="1"/>
        <v>20</v>
      </c>
      <c r="E17" s="28"/>
      <c r="F17" s="83" t="s">
        <v>126</v>
      </c>
      <c r="G17" s="28" t="s">
        <v>123</v>
      </c>
      <c r="H17" s="30">
        <f>+H16</f>
        <v>4500498790</v>
      </c>
      <c r="I17" s="31"/>
      <c r="J17" s="31">
        <v>6</v>
      </c>
      <c r="K17" s="31"/>
      <c r="L17" s="31"/>
      <c r="M17" s="31"/>
      <c r="N17" s="30"/>
      <c r="O17" s="30"/>
      <c r="P17" s="30"/>
      <c r="Q17" s="28">
        <f t="shared" si="2"/>
        <v>6</v>
      </c>
      <c r="R17" s="28">
        <v>120</v>
      </c>
      <c r="S17" s="99"/>
      <c r="T17" s="99"/>
      <c r="U17" s="105">
        <f t="shared" ref="U17:U21" si="4">+S17*D17*Q17</f>
        <v>0</v>
      </c>
      <c r="V17" s="35">
        <f t="shared" ref="V17:V21" si="5">+T17*D17*Q17</f>
        <v>0</v>
      </c>
      <c r="W17" s="82">
        <f t="shared" ref="W17:W21" si="6">+ROUND(D17*X17*Y17*Z17/1000000,3)</f>
        <v>0.80800000000000005</v>
      </c>
      <c r="X17" s="94">
        <v>73.66</v>
      </c>
      <c r="Y17" s="94">
        <v>43.18</v>
      </c>
      <c r="Z17" s="94">
        <v>12.7</v>
      </c>
      <c r="AA17" s="109" t="s">
        <v>128</v>
      </c>
      <c r="AB17" s="42" t="s">
        <v>118</v>
      </c>
      <c r="AD17" s="42">
        <f>0.4445*2+0.3683*4+0.12*12</f>
        <v>3.8022</v>
      </c>
      <c r="AE17" s="42">
        <f t="shared" si="3"/>
        <v>76.043999999999997</v>
      </c>
    </row>
    <row r="18" spans="1:32" s="42" customFormat="1" ht="27.75" customHeight="1">
      <c r="A18" s="27">
        <f t="shared" ref="A18:A21" si="7">+C17+1</f>
        <v>61</v>
      </c>
      <c r="B18" s="28" t="s">
        <v>32</v>
      </c>
      <c r="C18" s="27">
        <f t="shared" si="0"/>
        <v>88</v>
      </c>
      <c r="D18" s="27">
        <f t="shared" si="1"/>
        <v>28</v>
      </c>
      <c r="E18" s="28"/>
      <c r="F18" s="83" t="s">
        <v>126</v>
      </c>
      <c r="G18" s="28" t="s">
        <v>123</v>
      </c>
      <c r="H18" s="30">
        <f>+$H$16</f>
        <v>4500498790</v>
      </c>
      <c r="I18" s="31"/>
      <c r="J18" s="31"/>
      <c r="K18" s="31">
        <v>6</v>
      </c>
      <c r="L18" s="31"/>
      <c r="M18" s="31"/>
      <c r="N18" s="30"/>
      <c r="O18" s="30"/>
      <c r="P18" s="30"/>
      <c r="Q18" s="28">
        <f t="shared" si="2"/>
        <v>6</v>
      </c>
      <c r="R18" s="28">
        <v>168</v>
      </c>
      <c r="S18" s="99"/>
      <c r="T18" s="99"/>
      <c r="U18" s="105">
        <f t="shared" si="4"/>
        <v>0</v>
      </c>
      <c r="V18" s="35">
        <f t="shared" si="5"/>
        <v>0</v>
      </c>
      <c r="W18" s="82">
        <f t="shared" si="6"/>
        <v>1.3009999999999999</v>
      </c>
      <c r="X18" s="94">
        <v>80.010000000000005</v>
      </c>
      <c r="Y18" s="94">
        <v>45.72</v>
      </c>
      <c r="Z18" s="94">
        <v>12.7</v>
      </c>
      <c r="AA18" s="109" t="s">
        <v>129</v>
      </c>
      <c r="AB18" s="42" t="s">
        <v>118</v>
      </c>
      <c r="AD18" s="42">
        <f>0.4445*2+0.3683*4+0.12*12</f>
        <v>3.8022</v>
      </c>
      <c r="AE18" s="42">
        <f t="shared" si="3"/>
        <v>106.4616</v>
      </c>
    </row>
    <row r="19" spans="1:32" s="42" customFormat="1" ht="27.75" customHeight="1">
      <c r="A19" s="27">
        <f t="shared" si="7"/>
        <v>89</v>
      </c>
      <c r="B19" s="28" t="s">
        <v>32</v>
      </c>
      <c r="C19" s="27">
        <f t="shared" si="0"/>
        <v>92</v>
      </c>
      <c r="D19" s="27">
        <f t="shared" si="1"/>
        <v>4</v>
      </c>
      <c r="E19" s="28"/>
      <c r="F19" s="83" t="s">
        <v>126</v>
      </c>
      <c r="G19" s="28" t="s">
        <v>123</v>
      </c>
      <c r="H19" s="30">
        <f t="shared" ref="H19:H21" si="8">+$H$16</f>
        <v>4500498790</v>
      </c>
      <c r="I19" s="31"/>
      <c r="J19" s="31"/>
      <c r="K19" s="31"/>
      <c r="L19" s="31">
        <v>6</v>
      </c>
      <c r="M19" s="31"/>
      <c r="N19" s="30"/>
      <c r="O19" s="30"/>
      <c r="P19" s="30"/>
      <c r="Q19" s="28">
        <f t="shared" si="2"/>
        <v>6</v>
      </c>
      <c r="R19" s="28">
        <v>24</v>
      </c>
      <c r="S19" s="99"/>
      <c r="T19" s="99"/>
      <c r="U19" s="105">
        <f t="shared" si="4"/>
        <v>0</v>
      </c>
      <c r="V19" s="35">
        <f t="shared" si="5"/>
        <v>0</v>
      </c>
      <c r="W19" s="82">
        <f t="shared" si="6"/>
        <v>0.186</v>
      </c>
      <c r="X19" s="94">
        <v>80.010000000000005</v>
      </c>
      <c r="Y19" s="94">
        <v>45.72</v>
      </c>
      <c r="Z19" s="94">
        <v>12.7</v>
      </c>
      <c r="AA19" s="109" t="s">
        <v>129</v>
      </c>
      <c r="AB19" s="42" t="s">
        <v>118</v>
      </c>
      <c r="AD19" s="42">
        <f>0.5906*2+0.3874*4+0.12*12</f>
        <v>4.1707999999999998</v>
      </c>
      <c r="AE19" s="42">
        <f t="shared" si="3"/>
        <v>16.683199999999999</v>
      </c>
    </row>
    <row r="20" spans="1:32" s="42" customFormat="1" ht="27.75" customHeight="1">
      <c r="A20" s="27">
        <f t="shared" si="7"/>
        <v>93</v>
      </c>
      <c r="B20" s="28" t="s">
        <v>32</v>
      </c>
      <c r="C20" s="27">
        <f t="shared" si="0"/>
        <v>156</v>
      </c>
      <c r="D20" s="27">
        <f t="shared" si="1"/>
        <v>64</v>
      </c>
      <c r="E20" s="28"/>
      <c r="F20" s="83" t="s">
        <v>126</v>
      </c>
      <c r="G20" s="28" t="s">
        <v>123</v>
      </c>
      <c r="H20" s="30">
        <f t="shared" si="8"/>
        <v>4500498790</v>
      </c>
      <c r="I20" s="31"/>
      <c r="J20" s="31"/>
      <c r="K20" s="31"/>
      <c r="L20" s="31"/>
      <c r="M20" s="31">
        <v>6</v>
      </c>
      <c r="N20" s="30"/>
      <c r="O20" s="30"/>
      <c r="P20" s="30"/>
      <c r="Q20" s="28">
        <f t="shared" si="2"/>
        <v>6</v>
      </c>
      <c r="R20" s="28">
        <v>384</v>
      </c>
      <c r="S20" s="99"/>
      <c r="T20" s="99"/>
      <c r="U20" s="105">
        <f t="shared" si="4"/>
        <v>0</v>
      </c>
      <c r="V20" s="35">
        <f t="shared" si="5"/>
        <v>0</v>
      </c>
      <c r="W20" s="82">
        <f t="shared" si="6"/>
        <v>3.5419999999999998</v>
      </c>
      <c r="X20" s="94">
        <v>88.9</v>
      </c>
      <c r="Y20" s="94">
        <v>49.022000000000006</v>
      </c>
      <c r="Z20" s="94">
        <v>12.7</v>
      </c>
      <c r="AA20" s="109" t="s">
        <v>130</v>
      </c>
      <c r="AB20" s="42" t="s">
        <v>118</v>
      </c>
      <c r="AD20" s="42">
        <f>0.5906*2+0.3874*4+0.12*12</f>
        <v>4.1707999999999998</v>
      </c>
      <c r="AE20" s="42">
        <f t="shared" si="3"/>
        <v>266.93119999999999</v>
      </c>
    </row>
    <row r="21" spans="1:32" s="42" customFormat="1" ht="27.75" customHeight="1">
      <c r="A21" s="27">
        <f t="shared" si="7"/>
        <v>157</v>
      </c>
      <c r="B21" s="28" t="s">
        <v>32</v>
      </c>
      <c r="C21" s="27">
        <f t="shared" si="0"/>
        <v>196</v>
      </c>
      <c r="D21" s="27">
        <f t="shared" si="1"/>
        <v>40</v>
      </c>
      <c r="E21" s="28"/>
      <c r="F21" s="83" t="s">
        <v>126</v>
      </c>
      <c r="G21" s="28" t="s">
        <v>123</v>
      </c>
      <c r="H21" s="30">
        <f t="shared" si="8"/>
        <v>4500498790</v>
      </c>
      <c r="I21" s="31"/>
      <c r="J21" s="31"/>
      <c r="K21" s="31"/>
      <c r="L21" s="31"/>
      <c r="M21" s="31"/>
      <c r="N21" s="30">
        <v>6</v>
      </c>
      <c r="O21" s="30"/>
      <c r="P21" s="30"/>
      <c r="Q21" s="28">
        <f t="shared" si="2"/>
        <v>6</v>
      </c>
      <c r="R21" s="28">
        <v>240</v>
      </c>
      <c r="S21" s="99"/>
      <c r="T21" s="99"/>
      <c r="U21" s="105">
        <f t="shared" si="4"/>
        <v>0</v>
      </c>
      <c r="V21" s="35">
        <f t="shared" si="5"/>
        <v>0</v>
      </c>
      <c r="W21" s="82">
        <f t="shared" si="6"/>
        <v>2.214</v>
      </c>
      <c r="X21" s="94">
        <v>88.9</v>
      </c>
      <c r="Y21" s="94">
        <v>49.022000000000006</v>
      </c>
      <c r="Z21" s="94">
        <v>12.7</v>
      </c>
      <c r="AA21" s="109" t="s">
        <v>130</v>
      </c>
      <c r="AB21" s="42" t="s">
        <v>118</v>
      </c>
      <c r="AD21" s="42">
        <f>0.5906*2+0.3874*4+0.12*12</f>
        <v>4.1707999999999998</v>
      </c>
      <c r="AE21" s="42">
        <f t="shared" si="3"/>
        <v>166.83199999999999</v>
      </c>
    </row>
    <row r="22" spans="1:32" s="42" customFormat="1" ht="24" customHeight="1">
      <c r="A22" s="219" t="s">
        <v>33</v>
      </c>
      <c r="B22" s="220"/>
      <c r="C22" s="221"/>
      <c r="D22" s="44">
        <f>SUM(D16:D21)</f>
        <v>196</v>
      </c>
      <c r="E22" s="45"/>
      <c r="F22" s="45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4">
        <f>SUM(R16:R21)</f>
        <v>1176</v>
      </c>
      <c r="S22" s="49"/>
      <c r="T22" s="49"/>
      <c r="U22" s="106">
        <f>SUM(U16:U19)</f>
        <v>0</v>
      </c>
      <c r="V22" s="106">
        <f>SUM(V16:V19)</f>
        <v>0</v>
      </c>
      <c r="W22" s="51">
        <f>SUM(W16:W21)</f>
        <v>9.6669999999999998</v>
      </c>
      <c r="X22" s="52"/>
      <c r="Y22" s="3"/>
      <c r="Z22" s="53"/>
      <c r="AA22" s="8"/>
      <c r="AE22" s="110">
        <f>SUM(AE16:AE19)/86</f>
        <v>4.0020093023255816</v>
      </c>
      <c r="AF22" s="42" t="s">
        <v>114</v>
      </c>
    </row>
    <row r="23" spans="1:32" s="42" customFormat="1" ht="12.75" customHeight="1">
      <c r="A23" s="54"/>
      <c r="B23" s="22"/>
      <c r="C23" s="22"/>
      <c r="D23" s="55"/>
      <c r="E23" s="55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57"/>
      <c r="S23" s="22"/>
      <c r="T23" s="22"/>
      <c r="U23" s="57"/>
      <c r="V23" s="57"/>
      <c r="W23" s="58"/>
      <c r="X23" s="3"/>
      <c r="Y23" s="3"/>
      <c r="Z23" s="53"/>
      <c r="AA23" s="8"/>
    </row>
    <row r="24" spans="1:32" s="42" customFormat="1" ht="21.75" customHeight="1">
      <c r="A24" s="54"/>
      <c r="B24" s="22"/>
      <c r="C24" s="22"/>
      <c r="D24" s="55"/>
      <c r="E24" s="55"/>
      <c r="F24" s="55"/>
      <c r="G24" s="59" t="s">
        <v>34</v>
      </c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0"/>
      <c r="S24" s="22"/>
      <c r="T24" s="56"/>
      <c r="U24" s="57"/>
      <c r="V24" s="57"/>
      <c r="W24" s="61"/>
      <c r="X24" s="3"/>
      <c r="Y24" s="3"/>
      <c r="Z24" s="53"/>
      <c r="AA24" s="8"/>
    </row>
    <row r="25" spans="1:32" s="64" customFormat="1" ht="21.75" customHeight="1">
      <c r="A25" s="62"/>
      <c r="B25" s="62"/>
      <c r="C25" s="62"/>
      <c r="D25" s="62"/>
      <c r="E25" s="62"/>
      <c r="F25" s="222" t="str">
        <f>+F13</f>
        <v>STYLE</v>
      </c>
      <c r="G25" s="222" t="s">
        <v>15</v>
      </c>
      <c r="H25" s="270" t="str">
        <f>+H13</f>
        <v>Po#</v>
      </c>
      <c r="I25" s="266">
        <v>8</v>
      </c>
      <c r="J25" s="266">
        <v>10</v>
      </c>
      <c r="K25" s="266">
        <v>12</v>
      </c>
      <c r="L25" s="266">
        <v>14</v>
      </c>
      <c r="M25" s="266">
        <v>16</v>
      </c>
      <c r="N25" s="266">
        <v>18</v>
      </c>
      <c r="O25" s="272">
        <v>20</v>
      </c>
      <c r="P25" s="211" t="s">
        <v>28</v>
      </c>
      <c r="Q25" s="222" t="s">
        <v>35</v>
      </c>
      <c r="R25" s="63"/>
      <c r="S25" s="62"/>
      <c r="T25" s="62"/>
      <c r="U25" s="62"/>
      <c r="V25" s="62"/>
      <c r="W25" s="61"/>
      <c r="X25" s="64">
        <f>14.01+10.39</f>
        <v>24.4</v>
      </c>
      <c r="AA25" s="12"/>
    </row>
    <row r="26" spans="1:32" s="64" customFormat="1" ht="20.25" customHeight="1" thickBot="1">
      <c r="B26" s="65"/>
      <c r="C26" s="65"/>
      <c r="D26" s="66"/>
      <c r="E26" s="66"/>
      <c r="F26" s="223"/>
      <c r="G26" s="223"/>
      <c r="H26" s="271"/>
      <c r="I26" s="266"/>
      <c r="J26" s="266">
        <v>10</v>
      </c>
      <c r="K26" s="266"/>
      <c r="L26" s="266"/>
      <c r="M26" s="266"/>
      <c r="N26" s="266"/>
      <c r="O26" s="272"/>
      <c r="P26" s="212"/>
      <c r="Q26" s="223"/>
      <c r="R26" s="65"/>
      <c r="S26" s="65"/>
      <c r="T26" s="65"/>
      <c r="U26" s="65"/>
      <c r="V26" s="65"/>
      <c r="AA26" s="12"/>
    </row>
    <row r="27" spans="1:32" s="64" customFormat="1" ht="23.25" customHeight="1">
      <c r="B27" s="65"/>
      <c r="C27" s="65"/>
      <c r="D27" s="65"/>
      <c r="E27" s="65"/>
      <c r="F27" s="107" t="str">
        <f>+F16</f>
        <v>25K8J0095N-022-PC</v>
      </c>
      <c r="G27" s="107" t="str">
        <f>+G16</f>
        <v>OXFORD GREY</v>
      </c>
      <c r="H27" s="68">
        <f>+H16</f>
        <v>4500498790</v>
      </c>
      <c r="I27" s="86">
        <f t="shared" ref="I27:O27" si="9">+I16*$D$16</f>
        <v>240</v>
      </c>
      <c r="J27" s="86">
        <f t="shared" si="9"/>
        <v>0</v>
      </c>
      <c r="K27" s="86">
        <f t="shared" si="9"/>
        <v>0</v>
      </c>
      <c r="L27" s="86">
        <f t="shared" si="9"/>
        <v>0</v>
      </c>
      <c r="M27" s="86">
        <f t="shared" si="9"/>
        <v>0</v>
      </c>
      <c r="N27" s="86">
        <f t="shared" si="9"/>
        <v>0</v>
      </c>
      <c r="O27" s="86">
        <f t="shared" si="9"/>
        <v>0</v>
      </c>
      <c r="P27" s="86">
        <f>+$I$16*K16</f>
        <v>0</v>
      </c>
      <c r="Q27" s="71">
        <f>SUM(I27:O27)</f>
        <v>240</v>
      </c>
      <c r="R27" s="62"/>
      <c r="S27" s="62"/>
      <c r="T27" s="62"/>
      <c r="U27" s="62"/>
      <c r="V27" s="62"/>
      <c r="W27" s="61"/>
      <c r="AA27" s="12"/>
    </row>
    <row r="28" spans="1:32" s="64" customFormat="1" ht="23.25" customHeight="1">
      <c r="B28" s="65"/>
      <c r="C28" s="65"/>
      <c r="D28" s="65"/>
      <c r="E28" s="65"/>
      <c r="F28" s="107" t="str">
        <f>+F27</f>
        <v>25K8J0095N-022-PC</v>
      </c>
      <c r="G28" s="107" t="str">
        <f>+G27</f>
        <v>OXFORD GREY</v>
      </c>
      <c r="H28" s="68">
        <f>+H27</f>
        <v>4500498790</v>
      </c>
      <c r="I28" s="86">
        <f t="shared" ref="I28:O28" si="10">+I17*$D$17</f>
        <v>0</v>
      </c>
      <c r="J28" s="86">
        <f t="shared" si="10"/>
        <v>120</v>
      </c>
      <c r="K28" s="86">
        <f t="shared" si="10"/>
        <v>0</v>
      </c>
      <c r="L28" s="86">
        <f t="shared" si="10"/>
        <v>0</v>
      </c>
      <c r="M28" s="86">
        <f t="shared" si="10"/>
        <v>0</v>
      </c>
      <c r="N28" s="86">
        <f t="shared" si="10"/>
        <v>0</v>
      </c>
      <c r="O28" s="86">
        <f t="shared" si="10"/>
        <v>0</v>
      </c>
      <c r="P28" s="69">
        <v>0</v>
      </c>
      <c r="Q28" s="71">
        <f t="shared" ref="Q28:Q32" si="11">SUM(I28:O28)</f>
        <v>120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+F16</f>
        <v>25K8J0095N-022-PC</v>
      </c>
      <c r="G29" s="107" t="str">
        <f>+G16</f>
        <v>OXFORD GREY</v>
      </c>
      <c r="H29" s="68">
        <f>+H16</f>
        <v>4500498790</v>
      </c>
      <c r="I29" s="86">
        <f t="shared" ref="I29:O29" si="12">+I18*$D$18</f>
        <v>0</v>
      </c>
      <c r="J29" s="86">
        <f t="shared" si="12"/>
        <v>0</v>
      </c>
      <c r="K29" s="86">
        <f t="shared" si="12"/>
        <v>168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si="11"/>
        <v>168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+F19</f>
        <v>25K8J0095N-022-PC</v>
      </c>
      <c r="G30" s="107" t="str">
        <f>+G19</f>
        <v>OXFORD GREY</v>
      </c>
      <c r="H30" s="68">
        <f>+H19</f>
        <v>4500498790</v>
      </c>
      <c r="I30" s="86">
        <f t="shared" ref="I30:O30" si="13">+I19*$D$19</f>
        <v>0</v>
      </c>
      <c r="J30" s="86">
        <f t="shared" si="13"/>
        <v>0</v>
      </c>
      <c r="K30" s="86">
        <f t="shared" si="13"/>
        <v>0</v>
      </c>
      <c r="L30" s="86">
        <f t="shared" si="13"/>
        <v>24</v>
      </c>
      <c r="M30" s="86">
        <f t="shared" si="13"/>
        <v>0</v>
      </c>
      <c r="N30" s="86">
        <f t="shared" si="13"/>
        <v>0</v>
      </c>
      <c r="O30" s="86">
        <f t="shared" si="13"/>
        <v>0</v>
      </c>
      <c r="P30" s="70"/>
      <c r="Q30" s="71">
        <f t="shared" si="11"/>
        <v>24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+F18</f>
        <v>25K8J0095N-022-PC</v>
      </c>
      <c r="G31" s="107" t="str">
        <f>+G18</f>
        <v>OXFORD GREY</v>
      </c>
      <c r="H31" s="68">
        <f>+H18</f>
        <v>4500498790</v>
      </c>
      <c r="I31" s="86">
        <f>+I20*$D$18</f>
        <v>0</v>
      </c>
      <c r="J31" s="86">
        <f>+J20*$D$18</f>
        <v>0</v>
      </c>
      <c r="K31" s="86">
        <f>+K20*$D$18</f>
        <v>0</v>
      </c>
      <c r="L31" s="86">
        <f>+L20*$D$18</f>
        <v>0</v>
      </c>
      <c r="M31" s="86">
        <f>+M20*$D$20</f>
        <v>384</v>
      </c>
      <c r="N31" s="86">
        <f>+N20*$D$18</f>
        <v>0</v>
      </c>
      <c r="O31" s="86">
        <f>+O20*$D$18</f>
        <v>0</v>
      </c>
      <c r="P31" s="69">
        <v>0</v>
      </c>
      <c r="Q31" s="71">
        <f t="shared" si="11"/>
        <v>384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+F21</f>
        <v>25K8J0095N-022-PC</v>
      </c>
      <c r="G32" s="107" t="str">
        <f>+G21</f>
        <v>OXFORD GREY</v>
      </c>
      <c r="H32" s="68">
        <f>+H21</f>
        <v>4500498790</v>
      </c>
      <c r="I32" s="86">
        <f>+I21*$D$19</f>
        <v>0</v>
      </c>
      <c r="J32" s="86">
        <f>+J21*$D$19</f>
        <v>0</v>
      </c>
      <c r="K32" s="86">
        <f>+K21*$D$19</f>
        <v>0</v>
      </c>
      <c r="L32" s="86">
        <f>+L21*$D$19</f>
        <v>0</v>
      </c>
      <c r="M32" s="86">
        <f>+M21*$D$19</f>
        <v>0</v>
      </c>
      <c r="N32" s="86">
        <f>+N21*$D$21</f>
        <v>240</v>
      </c>
      <c r="O32" s="86">
        <f>+O21*$D$19</f>
        <v>0</v>
      </c>
      <c r="P32" s="70"/>
      <c r="Q32" s="71">
        <f t="shared" si="11"/>
        <v>240</v>
      </c>
      <c r="R32" s="62"/>
      <c r="S32" s="62"/>
      <c r="T32" s="62"/>
      <c r="U32" s="62"/>
      <c r="V32" s="62"/>
      <c r="W32" s="61"/>
      <c r="AA32" s="12"/>
    </row>
    <row r="33" spans="1:23" s="64" customFormat="1" ht="19.5" customHeight="1">
      <c r="A33" s="62"/>
      <c r="B33" s="62"/>
      <c r="C33" s="62"/>
      <c r="D33" s="62"/>
      <c r="E33" s="62"/>
      <c r="F33" s="62"/>
      <c r="G33" s="72" t="s">
        <v>33</v>
      </c>
      <c r="H33" s="68"/>
      <c r="I33" s="71">
        <f>SUM(I27:I30)</f>
        <v>240</v>
      </c>
      <c r="J33" s="71">
        <f>SUM(J27:J30)</f>
        <v>120</v>
      </c>
      <c r="K33" s="71">
        <f>SUM(K27:K30)</f>
        <v>168</v>
      </c>
      <c r="L33" s="71">
        <f>SUM(L27:L30)</f>
        <v>24</v>
      </c>
      <c r="M33" s="71">
        <f>SUM(M27:M32)</f>
        <v>384</v>
      </c>
      <c r="N33" s="71">
        <f>SUM(N27:N32)</f>
        <v>240</v>
      </c>
      <c r="O33" s="71">
        <f>SUM(O27:O30)</f>
        <v>0</v>
      </c>
      <c r="P33" s="71"/>
      <c r="Q33" s="71">
        <f>SUM(Q27:Q32)</f>
        <v>1176</v>
      </c>
      <c r="R33" s="62"/>
      <c r="S33" s="63"/>
      <c r="T33" s="62"/>
      <c r="U33" s="62"/>
      <c r="V33" s="62"/>
      <c r="W33" s="61"/>
    </row>
    <row r="34" spans="1:23">
      <c r="V34" s="74"/>
    </row>
    <row r="35" spans="1:23">
      <c r="K35" s="108" t="s">
        <v>0</v>
      </c>
    </row>
    <row r="37" spans="1:23">
      <c r="R37" s="75"/>
      <c r="S37" s="76"/>
      <c r="T37" s="76"/>
      <c r="U37" s="76"/>
    </row>
    <row r="38" spans="1:23">
      <c r="R38" s="76"/>
      <c r="S38" s="76"/>
      <c r="T38" s="76"/>
      <c r="U38" s="76"/>
    </row>
    <row r="39" spans="1:23">
      <c r="R39" s="76"/>
      <c r="S39" s="76"/>
      <c r="T39" s="76"/>
      <c r="U39" s="76"/>
    </row>
    <row r="40" spans="1:23">
      <c r="G40" s="77"/>
      <c r="R40" s="76"/>
      <c r="S40" s="76"/>
      <c r="T40" s="76"/>
      <c r="U40" s="76"/>
    </row>
    <row r="41" spans="1:23">
      <c r="G41" s="78"/>
      <c r="R41" s="76"/>
      <c r="S41" s="76"/>
      <c r="T41" s="76"/>
      <c r="U41" s="76"/>
    </row>
    <row r="42" spans="1:23">
      <c r="G42" s="77"/>
      <c r="H42" s="77"/>
      <c r="S42" s="76"/>
      <c r="T42" s="76"/>
      <c r="U42" s="76"/>
    </row>
  </sheetData>
  <autoFilter ref="A15:DC19">
    <filterColumn colId="0" showButton="0"/>
    <filterColumn colId="1" showButton="0"/>
  </autoFilter>
  <mergeCells count="40">
    <mergeCell ref="Q25:Q26"/>
    <mergeCell ref="K25:K26"/>
    <mergeCell ref="L25:L26"/>
    <mergeCell ref="M25:M26"/>
    <mergeCell ref="N25:N26"/>
    <mergeCell ref="O25:O26"/>
    <mergeCell ref="P25:P26"/>
    <mergeCell ref="A22:C22"/>
    <mergeCell ref="F25:F26"/>
    <mergeCell ref="G25:G26"/>
    <mergeCell ref="H25:H26"/>
    <mergeCell ref="I25:I26"/>
    <mergeCell ref="J25:J26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I13:P13"/>
    <mergeCell ref="Q13:Q15"/>
    <mergeCell ref="R13:R15"/>
    <mergeCell ref="W13:W15"/>
    <mergeCell ref="X13:Z14"/>
    <mergeCell ref="AA13:AA15"/>
    <mergeCell ref="H13:H15"/>
    <mergeCell ref="A1:Z1"/>
    <mergeCell ref="A2:Z2"/>
    <mergeCell ref="A3:Z3"/>
    <mergeCell ref="A4:Z4"/>
    <mergeCell ref="A6:Z6"/>
    <mergeCell ref="C12:D12"/>
    <mergeCell ref="A13:C15"/>
    <mergeCell ref="D13:D15"/>
    <mergeCell ref="E13:E15"/>
    <mergeCell ref="F13:F15"/>
    <mergeCell ref="G13:G15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2"/>
  <sheetViews>
    <sheetView zoomScale="80" zoomScaleNormal="80" zoomScaleSheetLayoutView="73" workbookViewId="0">
      <pane xSplit="8" ySplit="15" topLeftCell="V18" activePane="bottomRight" state="frozen"/>
      <selection pane="topRight" activeCell="H1" sqref="H1"/>
      <selection pane="bottomLeft" activeCell="A13" sqref="A13"/>
      <selection pane="bottomRight" activeCell="W23" sqref="W23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10" t="s">
        <v>125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4500498790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117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13" t="s">
        <v>121</v>
      </c>
      <c r="E10" s="15"/>
      <c r="F10" s="14"/>
      <c r="G10" s="10" t="s">
        <v>115</v>
      </c>
      <c r="H10" s="7" t="s">
        <v>42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1200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11" t="s">
        <v>120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25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67"/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6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19" si="0">+A16+D16-1</f>
        <v>28</v>
      </c>
      <c r="D16" s="27">
        <f t="shared" ref="D16:D19" si="1">+R16/Q16</f>
        <v>28</v>
      </c>
      <c r="E16" s="28"/>
      <c r="F16" s="83" t="s">
        <v>125</v>
      </c>
      <c r="G16" s="28" t="s">
        <v>119</v>
      </c>
      <c r="H16" s="30">
        <f>+D8</f>
        <v>4500498790</v>
      </c>
      <c r="I16" s="31">
        <v>6</v>
      </c>
      <c r="J16" s="31"/>
      <c r="K16" s="31"/>
      <c r="L16" s="31"/>
      <c r="M16" s="31"/>
      <c r="N16" s="30"/>
      <c r="O16" s="30"/>
      <c r="P16" s="30"/>
      <c r="Q16" s="28">
        <f t="shared" ref="Q16:Q19" si="2">+SUM(I16:P16)</f>
        <v>6</v>
      </c>
      <c r="R16" s="28">
        <v>168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1.131</v>
      </c>
      <c r="X16" s="94">
        <f>29*2.54</f>
        <v>73.66</v>
      </c>
      <c r="Y16" s="94">
        <f>17*2.54</f>
        <v>43.18</v>
      </c>
      <c r="Z16" s="94">
        <f t="shared" ref="Z16:Z21" si="3">5*2.54</f>
        <v>12.7</v>
      </c>
      <c r="AA16" s="109" t="s">
        <v>128</v>
      </c>
      <c r="AB16" s="42" t="s">
        <v>118</v>
      </c>
      <c r="AD16" s="42">
        <f>0.4191*2+0.3366*4+0.12*12</f>
        <v>3.6246</v>
      </c>
      <c r="AE16" s="42">
        <f t="shared" ref="AE16:AE19" si="4">AD16*D16</f>
        <v>101.4888</v>
      </c>
    </row>
    <row r="17" spans="1:32" s="42" customFormat="1" ht="27.75" customHeight="1">
      <c r="A17" s="27">
        <f>+C16+1</f>
        <v>29</v>
      </c>
      <c r="B17" s="28" t="s">
        <v>32</v>
      </c>
      <c r="C17" s="27">
        <f t="shared" si="0"/>
        <v>36</v>
      </c>
      <c r="D17" s="27">
        <f t="shared" si="1"/>
        <v>8</v>
      </c>
      <c r="E17" s="28"/>
      <c r="F17" s="83" t="s">
        <v>125</v>
      </c>
      <c r="G17" s="28" t="s">
        <v>119</v>
      </c>
      <c r="H17" s="30">
        <f>+H16</f>
        <v>4500498790</v>
      </c>
      <c r="I17" s="31"/>
      <c r="J17" s="31">
        <v>6</v>
      </c>
      <c r="K17" s="31"/>
      <c r="L17" s="31"/>
      <c r="M17" s="31"/>
      <c r="N17" s="30"/>
      <c r="O17" s="30"/>
      <c r="P17" s="30"/>
      <c r="Q17" s="28">
        <f t="shared" si="2"/>
        <v>6</v>
      </c>
      <c r="R17" s="28">
        <v>48</v>
      </c>
      <c r="S17" s="99"/>
      <c r="T17" s="99"/>
      <c r="U17" s="105">
        <f t="shared" ref="U17:U19" si="5">+S17*D17*Q17</f>
        <v>0</v>
      </c>
      <c r="V17" s="35">
        <f t="shared" ref="V17:V19" si="6">+T17*D17*Q17</f>
        <v>0</v>
      </c>
      <c r="W17" s="82">
        <f t="shared" ref="W17:W19" si="7">+ROUND(D17*X17*Y17*Z17/1000000,3)</f>
        <v>0.32300000000000001</v>
      </c>
      <c r="X17" s="94">
        <f>29*2.54</f>
        <v>73.66</v>
      </c>
      <c r="Y17" s="94">
        <f>17*2.54</f>
        <v>43.18</v>
      </c>
      <c r="Z17" s="94">
        <f t="shared" si="3"/>
        <v>12.7</v>
      </c>
      <c r="AA17" s="109" t="s">
        <v>128</v>
      </c>
      <c r="AB17" s="42" t="s">
        <v>118</v>
      </c>
      <c r="AD17" s="42">
        <f>0.4445*2+0.3683*4+0.12*12</f>
        <v>3.8022</v>
      </c>
      <c r="AE17" s="42">
        <f t="shared" si="4"/>
        <v>30.4176</v>
      </c>
    </row>
    <row r="18" spans="1:32" s="42" customFormat="1" ht="27.75" customHeight="1">
      <c r="A18" s="27">
        <f t="shared" ref="A18:A19" si="8">+C17+1</f>
        <v>37</v>
      </c>
      <c r="B18" s="28" t="s">
        <v>32</v>
      </c>
      <c r="C18" s="27">
        <f t="shared" si="0"/>
        <v>64</v>
      </c>
      <c r="D18" s="27">
        <f t="shared" si="1"/>
        <v>28</v>
      </c>
      <c r="E18" s="28"/>
      <c r="F18" s="83" t="s">
        <v>125</v>
      </c>
      <c r="G18" s="28" t="s">
        <v>119</v>
      </c>
      <c r="H18" s="30">
        <f>+$H$16</f>
        <v>4500498790</v>
      </c>
      <c r="I18" s="31"/>
      <c r="J18" s="31"/>
      <c r="K18" s="31">
        <v>6</v>
      </c>
      <c r="L18" s="31"/>
      <c r="M18" s="31"/>
      <c r="N18" s="30"/>
      <c r="O18" s="30"/>
      <c r="P18" s="30"/>
      <c r="Q18" s="28">
        <f t="shared" si="2"/>
        <v>6</v>
      </c>
      <c r="R18" s="28">
        <v>168</v>
      </c>
      <c r="S18" s="99"/>
      <c r="T18" s="99"/>
      <c r="U18" s="105">
        <f t="shared" si="5"/>
        <v>0</v>
      </c>
      <c r="V18" s="35">
        <f t="shared" si="6"/>
        <v>0</v>
      </c>
      <c r="W18" s="82">
        <f t="shared" si="7"/>
        <v>1.3009999999999999</v>
      </c>
      <c r="X18" s="94">
        <f>31.5*2.54</f>
        <v>80.010000000000005</v>
      </c>
      <c r="Y18" s="94">
        <f>18*2.54</f>
        <v>45.72</v>
      </c>
      <c r="Z18" s="94">
        <f t="shared" si="3"/>
        <v>12.7</v>
      </c>
      <c r="AA18" s="109" t="s">
        <v>129</v>
      </c>
      <c r="AB18" s="42" t="s">
        <v>118</v>
      </c>
      <c r="AD18" s="42">
        <f>0.4445*2+0.3683*4+0.12*12</f>
        <v>3.8022</v>
      </c>
      <c r="AE18" s="42">
        <f t="shared" si="4"/>
        <v>106.4616</v>
      </c>
    </row>
    <row r="19" spans="1:32" s="42" customFormat="1" ht="27.75" customHeight="1">
      <c r="A19" s="27">
        <f t="shared" si="8"/>
        <v>65</v>
      </c>
      <c r="B19" s="28" t="s">
        <v>32</v>
      </c>
      <c r="C19" s="27">
        <f t="shared" si="0"/>
        <v>128</v>
      </c>
      <c r="D19" s="27">
        <f t="shared" si="1"/>
        <v>64</v>
      </c>
      <c r="E19" s="28"/>
      <c r="F19" s="83" t="s">
        <v>125</v>
      </c>
      <c r="G19" s="28" t="s">
        <v>119</v>
      </c>
      <c r="H19" s="30">
        <f t="shared" ref="H19:H21" si="9">+$H$16</f>
        <v>4500498790</v>
      </c>
      <c r="I19" s="31"/>
      <c r="J19" s="31"/>
      <c r="K19" s="31"/>
      <c r="L19" s="31">
        <v>6</v>
      </c>
      <c r="M19" s="31"/>
      <c r="N19" s="30"/>
      <c r="O19" s="30"/>
      <c r="P19" s="30"/>
      <c r="Q19" s="28">
        <f t="shared" si="2"/>
        <v>6</v>
      </c>
      <c r="R19" s="28">
        <v>384</v>
      </c>
      <c r="S19" s="99"/>
      <c r="T19" s="99"/>
      <c r="U19" s="105">
        <f t="shared" si="5"/>
        <v>0</v>
      </c>
      <c r="V19" s="35">
        <f t="shared" si="6"/>
        <v>0</v>
      </c>
      <c r="W19" s="82">
        <f t="shared" si="7"/>
        <v>2.9729999999999999</v>
      </c>
      <c r="X19" s="94">
        <f>31.5*2.54</f>
        <v>80.010000000000005</v>
      </c>
      <c r="Y19" s="94">
        <f>18*2.54</f>
        <v>45.72</v>
      </c>
      <c r="Z19" s="94">
        <f t="shared" si="3"/>
        <v>12.7</v>
      </c>
      <c r="AA19" s="109" t="s">
        <v>129</v>
      </c>
      <c r="AB19" s="42" t="s">
        <v>118</v>
      </c>
      <c r="AD19" s="42">
        <f>0.5906*2+0.3874*4+0.12*12</f>
        <v>4.1707999999999998</v>
      </c>
      <c r="AE19" s="42">
        <f t="shared" si="4"/>
        <v>266.93119999999999</v>
      </c>
    </row>
    <row r="20" spans="1:32" s="42" customFormat="1" ht="27.75" customHeight="1">
      <c r="A20" s="27">
        <f t="shared" ref="A20" si="10">+C19+1</f>
        <v>129</v>
      </c>
      <c r="B20" s="28" t="s">
        <v>32</v>
      </c>
      <c r="C20" s="27">
        <f t="shared" ref="C20" si="11">+A20+D20-1</f>
        <v>168</v>
      </c>
      <c r="D20" s="27">
        <f t="shared" ref="D20" si="12">+R20/Q20</f>
        <v>40</v>
      </c>
      <c r="E20" s="28"/>
      <c r="F20" s="83" t="s">
        <v>125</v>
      </c>
      <c r="G20" s="28" t="s">
        <v>119</v>
      </c>
      <c r="H20" s="30">
        <f t="shared" si="9"/>
        <v>4500498790</v>
      </c>
      <c r="I20" s="31"/>
      <c r="J20" s="31"/>
      <c r="K20" s="31"/>
      <c r="L20" s="31"/>
      <c r="M20" s="31">
        <v>6</v>
      </c>
      <c r="N20" s="30"/>
      <c r="O20" s="30"/>
      <c r="P20" s="30"/>
      <c r="Q20" s="28">
        <f t="shared" ref="Q20" si="13">+SUM(I20:P20)</f>
        <v>6</v>
      </c>
      <c r="R20" s="28">
        <v>240</v>
      </c>
      <c r="S20" s="99"/>
      <c r="T20" s="99"/>
      <c r="U20" s="105">
        <f t="shared" ref="U20" si="14">+S20*D20*Q20</f>
        <v>0</v>
      </c>
      <c r="V20" s="35">
        <f t="shared" ref="V20" si="15">+T20*D20*Q20</f>
        <v>0</v>
      </c>
      <c r="W20" s="82">
        <f t="shared" ref="W20" si="16">+ROUND(D20*X20*Y20*Z20/1000000,3)</f>
        <v>2.214</v>
      </c>
      <c r="X20" s="94">
        <f>35*2.54</f>
        <v>88.9</v>
      </c>
      <c r="Y20" s="94">
        <f>19.3*2.54</f>
        <v>49.022000000000006</v>
      </c>
      <c r="Z20" s="94">
        <f t="shared" si="3"/>
        <v>12.7</v>
      </c>
      <c r="AA20" s="109" t="s">
        <v>130</v>
      </c>
      <c r="AB20" s="42" t="s">
        <v>118</v>
      </c>
      <c r="AD20" s="42">
        <f>0.5906*2+0.3874*4+0.12*12</f>
        <v>4.1707999999999998</v>
      </c>
      <c r="AE20" s="42">
        <f t="shared" ref="AE20" si="17">AD20*D20</f>
        <v>166.83199999999999</v>
      </c>
    </row>
    <row r="21" spans="1:32" s="42" customFormat="1" ht="27.75" customHeight="1">
      <c r="A21" s="27">
        <f t="shared" ref="A21" si="18">+C20+1</f>
        <v>169</v>
      </c>
      <c r="B21" s="28" t="s">
        <v>32</v>
      </c>
      <c r="C21" s="27">
        <f t="shared" ref="C21" si="19">+A21+D21-1</f>
        <v>200</v>
      </c>
      <c r="D21" s="27">
        <f t="shared" ref="D21" si="20">+R21/Q21</f>
        <v>32</v>
      </c>
      <c r="E21" s="28"/>
      <c r="F21" s="83" t="s">
        <v>125</v>
      </c>
      <c r="G21" s="28" t="s">
        <v>119</v>
      </c>
      <c r="H21" s="30">
        <f t="shared" si="9"/>
        <v>4500498790</v>
      </c>
      <c r="I21" s="31"/>
      <c r="J21" s="31"/>
      <c r="K21" s="31"/>
      <c r="L21" s="31"/>
      <c r="M21" s="31"/>
      <c r="N21" s="30">
        <v>6</v>
      </c>
      <c r="O21" s="30"/>
      <c r="P21" s="30"/>
      <c r="Q21" s="28">
        <f t="shared" ref="Q21" si="21">+SUM(I21:P21)</f>
        <v>6</v>
      </c>
      <c r="R21" s="28">
        <v>192</v>
      </c>
      <c r="S21" s="99"/>
      <c r="T21" s="99"/>
      <c r="U21" s="105">
        <f t="shared" ref="U21" si="22">+S21*D21*Q21</f>
        <v>0</v>
      </c>
      <c r="V21" s="35">
        <f t="shared" ref="V21" si="23">+T21*D21*Q21</f>
        <v>0</v>
      </c>
      <c r="W21" s="82">
        <f t="shared" ref="W21" si="24">+ROUND(D21*X21*Y21*Z21/1000000,3)</f>
        <v>1.7709999999999999</v>
      </c>
      <c r="X21" s="94">
        <f>35*2.54</f>
        <v>88.9</v>
      </c>
      <c r="Y21" s="94">
        <f>19.3*2.54</f>
        <v>49.022000000000006</v>
      </c>
      <c r="Z21" s="94">
        <f t="shared" si="3"/>
        <v>12.7</v>
      </c>
      <c r="AA21" s="109" t="s">
        <v>130</v>
      </c>
      <c r="AB21" s="42" t="s">
        <v>118</v>
      </c>
      <c r="AD21" s="42">
        <f>0.5906*2+0.3874*4+0.12*12</f>
        <v>4.1707999999999998</v>
      </c>
      <c r="AE21" s="42">
        <f t="shared" ref="AE21" si="25">AD21*D21</f>
        <v>133.46559999999999</v>
      </c>
    </row>
    <row r="22" spans="1:32" s="42" customFormat="1" ht="24" customHeight="1">
      <c r="A22" s="219" t="s">
        <v>33</v>
      </c>
      <c r="B22" s="220"/>
      <c r="C22" s="221"/>
      <c r="D22" s="44">
        <f>SUM(D16:D21)</f>
        <v>200</v>
      </c>
      <c r="E22" s="45"/>
      <c r="F22" s="45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4">
        <f>SUM(R16:R21)</f>
        <v>1200</v>
      </c>
      <c r="S22" s="49"/>
      <c r="T22" s="49"/>
      <c r="U22" s="106">
        <f>SUM(U16:U19)</f>
        <v>0</v>
      </c>
      <c r="V22" s="106">
        <f>SUM(V16:V19)</f>
        <v>0</v>
      </c>
      <c r="W22" s="51">
        <f>SUM(W16:W21)</f>
        <v>9.713000000000001</v>
      </c>
      <c r="X22" s="52"/>
      <c r="Y22" s="3"/>
      <c r="Z22" s="53"/>
      <c r="AA22" s="8"/>
      <c r="AE22" s="110">
        <f>SUM(AE16:AE19)/86</f>
        <v>5.8755720930232558</v>
      </c>
      <c r="AF22" s="42" t="s">
        <v>114</v>
      </c>
    </row>
    <row r="23" spans="1:32" s="42" customFormat="1" ht="12.75" customHeight="1">
      <c r="A23" s="54"/>
      <c r="B23" s="22"/>
      <c r="C23" s="22"/>
      <c r="D23" s="55"/>
      <c r="E23" s="55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57"/>
      <c r="S23" s="22"/>
      <c r="T23" s="22"/>
      <c r="U23" s="57"/>
      <c r="V23" s="57"/>
      <c r="W23" s="58"/>
      <c r="X23" s="3"/>
      <c r="Y23" s="3"/>
      <c r="Z23" s="53"/>
      <c r="AA23" s="8"/>
    </row>
    <row r="24" spans="1:32" s="42" customFormat="1" ht="21.75" customHeight="1">
      <c r="A24" s="54"/>
      <c r="B24" s="22"/>
      <c r="C24" s="22"/>
      <c r="D24" s="55"/>
      <c r="E24" s="55"/>
      <c r="F24" s="55"/>
      <c r="G24" s="59" t="s">
        <v>34</v>
      </c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0"/>
      <c r="S24" s="22"/>
      <c r="T24" s="56"/>
      <c r="U24" s="57"/>
      <c r="V24" s="57"/>
      <c r="W24" s="61"/>
      <c r="X24" s="3"/>
      <c r="Y24" s="3"/>
      <c r="Z24" s="53"/>
      <c r="AA24" s="8"/>
    </row>
    <row r="25" spans="1:32" s="64" customFormat="1" ht="21.75" customHeight="1">
      <c r="A25" s="62"/>
      <c r="B25" s="62"/>
      <c r="C25" s="62"/>
      <c r="D25" s="62"/>
      <c r="E25" s="62"/>
      <c r="F25" s="222" t="str">
        <f>+F13</f>
        <v>STYLE</v>
      </c>
      <c r="G25" s="222" t="s">
        <v>15</v>
      </c>
      <c r="H25" s="270" t="str">
        <f>+H13</f>
        <v>Po#</v>
      </c>
      <c r="I25" s="266">
        <v>8</v>
      </c>
      <c r="J25" s="266">
        <v>10</v>
      </c>
      <c r="K25" s="266">
        <v>12</v>
      </c>
      <c r="L25" s="266">
        <v>14</v>
      </c>
      <c r="M25" s="266">
        <v>16</v>
      </c>
      <c r="N25" s="266">
        <v>18</v>
      </c>
      <c r="O25" s="272">
        <v>20</v>
      </c>
      <c r="P25" s="211" t="s">
        <v>28</v>
      </c>
      <c r="Q25" s="222" t="s">
        <v>35</v>
      </c>
      <c r="R25" s="63"/>
      <c r="S25" s="62"/>
      <c r="T25" s="62"/>
      <c r="U25" s="62"/>
      <c r="V25" s="62"/>
      <c r="W25" s="61"/>
      <c r="X25" s="64">
        <f>14.01+10.39</f>
        <v>24.4</v>
      </c>
      <c r="AA25" s="12"/>
    </row>
    <row r="26" spans="1:32" s="64" customFormat="1" ht="20.25" customHeight="1" thickBot="1">
      <c r="B26" s="65"/>
      <c r="C26" s="65"/>
      <c r="D26" s="66"/>
      <c r="E26" s="66"/>
      <c r="F26" s="223"/>
      <c r="G26" s="223"/>
      <c r="H26" s="271"/>
      <c r="I26" s="266"/>
      <c r="J26" s="266">
        <v>10</v>
      </c>
      <c r="K26" s="266"/>
      <c r="L26" s="266"/>
      <c r="M26" s="266"/>
      <c r="N26" s="266"/>
      <c r="O26" s="272"/>
      <c r="P26" s="212"/>
      <c r="Q26" s="223"/>
      <c r="R26" s="65"/>
      <c r="S26" s="65"/>
      <c r="T26" s="65"/>
      <c r="U26" s="65"/>
      <c r="V26" s="65"/>
      <c r="AA26" s="12"/>
    </row>
    <row r="27" spans="1:32" s="64" customFormat="1" ht="23.25" customHeight="1">
      <c r="B27" s="65"/>
      <c r="C27" s="65"/>
      <c r="D27" s="65"/>
      <c r="E27" s="65"/>
      <c r="F27" s="107" t="str">
        <f>+F16</f>
        <v>25K8J0095N-001-PC</v>
      </c>
      <c r="G27" s="107" t="str">
        <f>+G16</f>
        <v>BLACK</v>
      </c>
      <c r="H27" s="68">
        <f>+H16</f>
        <v>4500498790</v>
      </c>
      <c r="I27" s="86">
        <f t="shared" ref="I27:O27" si="26">+I16*$D$16</f>
        <v>168</v>
      </c>
      <c r="J27" s="86">
        <f t="shared" si="26"/>
        <v>0</v>
      </c>
      <c r="K27" s="86">
        <f t="shared" si="26"/>
        <v>0</v>
      </c>
      <c r="L27" s="86">
        <f t="shared" si="26"/>
        <v>0</v>
      </c>
      <c r="M27" s="86">
        <f t="shared" si="26"/>
        <v>0</v>
      </c>
      <c r="N27" s="86">
        <f t="shared" si="26"/>
        <v>0</v>
      </c>
      <c r="O27" s="86">
        <f t="shared" si="26"/>
        <v>0</v>
      </c>
      <c r="P27" s="86">
        <f>+$I$16*K16</f>
        <v>0</v>
      </c>
      <c r="Q27" s="71">
        <f>SUM(I27:O27)</f>
        <v>168</v>
      </c>
      <c r="R27" s="62"/>
      <c r="S27" s="62"/>
      <c r="T27" s="62"/>
      <c r="U27" s="62"/>
      <c r="V27" s="62"/>
      <c r="W27" s="61"/>
      <c r="AA27" s="12"/>
    </row>
    <row r="28" spans="1:32" s="64" customFormat="1" ht="23.25" customHeight="1">
      <c r="B28" s="65"/>
      <c r="C28" s="65"/>
      <c r="D28" s="65"/>
      <c r="E28" s="65"/>
      <c r="F28" s="107" t="str">
        <f>+F27</f>
        <v>25K8J0095N-001-PC</v>
      </c>
      <c r="G28" s="107" t="str">
        <f>+G27</f>
        <v>BLACK</v>
      </c>
      <c r="H28" s="68">
        <f>+H27</f>
        <v>4500498790</v>
      </c>
      <c r="I28" s="86">
        <f t="shared" ref="I28:O28" si="27">+I17*$D$17</f>
        <v>0</v>
      </c>
      <c r="J28" s="86">
        <f t="shared" si="27"/>
        <v>48</v>
      </c>
      <c r="K28" s="86">
        <f t="shared" si="27"/>
        <v>0</v>
      </c>
      <c r="L28" s="86">
        <f t="shared" si="27"/>
        <v>0</v>
      </c>
      <c r="M28" s="86">
        <f t="shared" si="27"/>
        <v>0</v>
      </c>
      <c r="N28" s="86">
        <f t="shared" si="27"/>
        <v>0</v>
      </c>
      <c r="O28" s="86">
        <f t="shared" si="27"/>
        <v>0</v>
      </c>
      <c r="P28" s="69">
        <v>0</v>
      </c>
      <c r="Q28" s="71">
        <f t="shared" ref="Q28:Q30" si="28">SUM(I28:O28)</f>
        <v>48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+F16</f>
        <v>25K8J0095N-001-PC</v>
      </c>
      <c r="G29" s="107" t="str">
        <f>+G16</f>
        <v>BLACK</v>
      </c>
      <c r="H29" s="68">
        <f>+H16</f>
        <v>4500498790</v>
      </c>
      <c r="I29" s="86">
        <f t="shared" ref="I29:O29" si="29">+I18*$D$18</f>
        <v>0</v>
      </c>
      <c r="J29" s="86">
        <f t="shared" si="29"/>
        <v>0</v>
      </c>
      <c r="K29" s="86">
        <f t="shared" si="29"/>
        <v>168</v>
      </c>
      <c r="L29" s="86">
        <f t="shared" si="29"/>
        <v>0</v>
      </c>
      <c r="M29" s="86">
        <f t="shared" si="29"/>
        <v>0</v>
      </c>
      <c r="N29" s="86">
        <f t="shared" si="29"/>
        <v>0</v>
      </c>
      <c r="O29" s="86">
        <f t="shared" si="29"/>
        <v>0</v>
      </c>
      <c r="P29" s="69">
        <v>0</v>
      </c>
      <c r="Q29" s="71">
        <f t="shared" si="28"/>
        <v>168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+F19</f>
        <v>25K8J0095N-001-PC</v>
      </c>
      <c r="G30" s="107" t="str">
        <f>+G19</f>
        <v>BLACK</v>
      </c>
      <c r="H30" s="68">
        <f>+H19</f>
        <v>4500498790</v>
      </c>
      <c r="I30" s="86">
        <f t="shared" ref="I30:O30" si="30">+I19*$D$19</f>
        <v>0</v>
      </c>
      <c r="J30" s="86">
        <f t="shared" si="30"/>
        <v>0</v>
      </c>
      <c r="K30" s="86">
        <f t="shared" si="30"/>
        <v>0</v>
      </c>
      <c r="L30" s="86">
        <f t="shared" si="30"/>
        <v>384</v>
      </c>
      <c r="M30" s="86">
        <f t="shared" si="30"/>
        <v>0</v>
      </c>
      <c r="N30" s="86">
        <f t="shared" si="30"/>
        <v>0</v>
      </c>
      <c r="O30" s="86">
        <f t="shared" si="30"/>
        <v>0</v>
      </c>
      <c r="P30" s="70"/>
      <c r="Q30" s="71">
        <f t="shared" si="28"/>
        <v>384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+F18</f>
        <v>25K8J0095N-001-PC</v>
      </c>
      <c r="G31" s="107" t="str">
        <f>+G18</f>
        <v>BLACK</v>
      </c>
      <c r="H31" s="68">
        <f>+H18</f>
        <v>4500498790</v>
      </c>
      <c r="I31" s="86">
        <f>+I20*$D$18</f>
        <v>0</v>
      </c>
      <c r="J31" s="86">
        <f>+J20*$D$18</f>
        <v>0</v>
      </c>
      <c r="K31" s="86">
        <f>+K20*$D$18</f>
        <v>0</v>
      </c>
      <c r="L31" s="86">
        <f>+L20*$D$18</f>
        <v>0</v>
      </c>
      <c r="M31" s="86">
        <f>+M20*$D$20</f>
        <v>240</v>
      </c>
      <c r="N31" s="86">
        <f>+N20*$D$18</f>
        <v>0</v>
      </c>
      <c r="O31" s="86">
        <f>+O20*$D$18</f>
        <v>0</v>
      </c>
      <c r="P31" s="69">
        <v>0</v>
      </c>
      <c r="Q31" s="71">
        <f t="shared" ref="Q31:Q32" si="31">SUM(I31:O31)</f>
        <v>240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+F21</f>
        <v>25K8J0095N-001-PC</v>
      </c>
      <c r="G32" s="107" t="str">
        <f>+G21</f>
        <v>BLACK</v>
      </c>
      <c r="H32" s="68">
        <f>+H21</f>
        <v>4500498790</v>
      </c>
      <c r="I32" s="86">
        <f>+I21*$D$19</f>
        <v>0</v>
      </c>
      <c r="J32" s="86">
        <f>+J21*$D$19</f>
        <v>0</v>
      </c>
      <c r="K32" s="86">
        <f>+K21*$D$19</f>
        <v>0</v>
      </c>
      <c r="L32" s="86">
        <f>+L21*$D$19</f>
        <v>0</v>
      </c>
      <c r="M32" s="86">
        <f>+M21*$D$19</f>
        <v>0</v>
      </c>
      <c r="N32" s="86">
        <f>+N21*$D$21</f>
        <v>192</v>
      </c>
      <c r="O32" s="86">
        <f>+O21*$D$19</f>
        <v>0</v>
      </c>
      <c r="P32" s="70"/>
      <c r="Q32" s="71">
        <f t="shared" si="31"/>
        <v>192</v>
      </c>
      <c r="R32" s="62"/>
      <c r="S32" s="62"/>
      <c r="T32" s="62"/>
      <c r="U32" s="62"/>
      <c r="V32" s="62"/>
      <c r="W32" s="61"/>
      <c r="AA32" s="12"/>
    </row>
    <row r="33" spans="1:23" s="64" customFormat="1" ht="19.5" customHeight="1">
      <c r="A33" s="62"/>
      <c r="B33" s="62"/>
      <c r="C33" s="62"/>
      <c r="D33" s="62"/>
      <c r="E33" s="62"/>
      <c r="F33" s="62"/>
      <c r="G33" s="72" t="s">
        <v>33</v>
      </c>
      <c r="H33" s="68"/>
      <c r="I33" s="71">
        <f>SUM(I27:I30)</f>
        <v>168</v>
      </c>
      <c r="J33" s="71">
        <f>SUM(J27:J30)</f>
        <v>48</v>
      </c>
      <c r="K33" s="71">
        <f>SUM(K27:K30)</f>
        <v>168</v>
      </c>
      <c r="L33" s="71">
        <f>SUM(L27:L30)</f>
        <v>384</v>
      </c>
      <c r="M33" s="71">
        <f>SUM(M27:M32)</f>
        <v>240</v>
      </c>
      <c r="N33" s="71">
        <f>SUM(N27:N32)</f>
        <v>192</v>
      </c>
      <c r="O33" s="71">
        <f>SUM(O27:O30)</f>
        <v>0</v>
      </c>
      <c r="P33" s="71"/>
      <c r="Q33" s="71">
        <f>SUM(Q27:Q32)</f>
        <v>1200</v>
      </c>
      <c r="R33" s="62"/>
      <c r="S33" s="63"/>
      <c r="T33" s="62"/>
      <c r="U33" s="62"/>
      <c r="V33" s="62"/>
      <c r="W33" s="61"/>
    </row>
    <row r="34" spans="1:23">
      <c r="V34" s="74"/>
    </row>
    <row r="35" spans="1:23">
      <c r="K35" s="108" t="s">
        <v>0</v>
      </c>
    </row>
    <row r="37" spans="1:23">
      <c r="R37" s="75"/>
      <c r="S37" s="76"/>
      <c r="T37" s="76"/>
      <c r="U37" s="76"/>
    </row>
    <row r="38" spans="1:23">
      <c r="R38" s="76"/>
      <c r="S38" s="76"/>
      <c r="T38" s="76"/>
      <c r="U38" s="76"/>
    </row>
    <row r="39" spans="1:23">
      <c r="R39" s="76"/>
      <c r="S39" s="76"/>
      <c r="T39" s="76"/>
      <c r="U39" s="76"/>
    </row>
    <row r="40" spans="1:23">
      <c r="G40" s="77"/>
      <c r="R40" s="76"/>
      <c r="S40" s="76"/>
      <c r="T40" s="76"/>
      <c r="U40" s="76"/>
    </row>
    <row r="41" spans="1:23">
      <c r="G41" s="78"/>
      <c r="R41" s="76"/>
      <c r="S41" s="76"/>
      <c r="T41" s="76"/>
      <c r="U41" s="76"/>
    </row>
    <row r="42" spans="1:23">
      <c r="G42" s="77"/>
      <c r="H42" s="77"/>
      <c r="S42" s="76"/>
      <c r="T42" s="76"/>
      <c r="U42" s="76"/>
    </row>
  </sheetData>
  <autoFilter ref="A15:DC19">
    <filterColumn colId="0" showButton="0"/>
    <filterColumn colId="1" showButton="0"/>
  </autoFilter>
  <mergeCells count="40">
    <mergeCell ref="Q25:Q26"/>
    <mergeCell ref="K25:K26"/>
    <mergeCell ref="L25:L26"/>
    <mergeCell ref="M25:M26"/>
    <mergeCell ref="N25:N26"/>
    <mergeCell ref="O25:O26"/>
    <mergeCell ref="P25:P26"/>
    <mergeCell ref="A22:C22"/>
    <mergeCell ref="F25:F26"/>
    <mergeCell ref="G25:G26"/>
    <mergeCell ref="H25:H26"/>
    <mergeCell ref="I25:I26"/>
    <mergeCell ref="J25:J26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I13:P13"/>
    <mergeCell ref="Q13:Q15"/>
    <mergeCell ref="R13:R15"/>
    <mergeCell ref="W13:W15"/>
    <mergeCell ref="X13:Z14"/>
    <mergeCell ref="AA13:AA15"/>
    <mergeCell ref="H13:H15"/>
    <mergeCell ref="A1:Z1"/>
    <mergeCell ref="A2:Z2"/>
    <mergeCell ref="A3:Z3"/>
    <mergeCell ref="A4:Z4"/>
    <mergeCell ref="A6:Z6"/>
    <mergeCell ref="C12:D12"/>
    <mergeCell ref="A13:C15"/>
    <mergeCell ref="D13:D15"/>
    <mergeCell ref="E13:E15"/>
    <mergeCell ref="F13:F15"/>
    <mergeCell ref="G13:G15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8"/>
  <sheetViews>
    <sheetView zoomScale="80" zoomScaleNormal="80" zoomScaleSheetLayoutView="73" workbookViewId="0">
      <pane xSplit="8" ySplit="15" topLeftCell="U16" activePane="bottomRight" state="frozen"/>
      <selection pane="topRight" activeCell="H1" sqref="H1"/>
      <selection pane="bottomLeft" activeCell="A13" sqref="A13"/>
      <selection pane="bottomRight" activeCell="W21" sqref="W2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124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4500498790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117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13" t="s">
        <v>121</v>
      </c>
      <c r="E10" s="15"/>
      <c r="F10" s="14"/>
      <c r="G10" s="10" t="s">
        <v>115</v>
      </c>
      <c r="H10" s="7" t="s">
        <v>42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1176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11" t="s">
        <v>120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25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/>
      <c r="J14" s="227">
        <v>4</v>
      </c>
      <c r="K14" s="227">
        <v>5</v>
      </c>
      <c r="L14" s="227">
        <v>6</v>
      </c>
      <c r="M14" s="227">
        <v>7</v>
      </c>
      <c r="N14" s="227"/>
      <c r="O14" s="267"/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6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19" si="0">+A16+D16-1</f>
        <v>20</v>
      </c>
      <c r="D16" s="27">
        <f t="shared" ref="D16:D19" si="1">+R16/Q16</f>
        <v>20</v>
      </c>
      <c r="E16" s="28"/>
      <c r="F16" s="83" t="s">
        <v>124</v>
      </c>
      <c r="G16" s="28" t="s">
        <v>123</v>
      </c>
      <c r="H16" s="30">
        <f>+D8</f>
        <v>4500498790</v>
      </c>
      <c r="I16" s="31"/>
      <c r="J16" s="31">
        <v>6</v>
      </c>
      <c r="K16" s="31"/>
      <c r="L16" s="31"/>
      <c r="M16" s="31"/>
      <c r="N16" s="30"/>
      <c r="O16" s="30"/>
      <c r="P16" s="30"/>
      <c r="Q16" s="28">
        <f t="shared" ref="Q16:Q19" si="2">+SUM(I16:P16)</f>
        <v>6</v>
      </c>
      <c r="R16" s="28">
        <v>120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0.50900000000000001</v>
      </c>
      <c r="X16" s="94">
        <v>58.42</v>
      </c>
      <c r="Y16" s="94">
        <v>38.1</v>
      </c>
      <c r="Z16" s="94">
        <v>11.43</v>
      </c>
      <c r="AA16" s="109" t="s">
        <v>131</v>
      </c>
      <c r="AB16" s="42" t="s">
        <v>118</v>
      </c>
      <c r="AD16" s="42">
        <f>0.4191*2+0.3366*4+0.12*12</f>
        <v>3.6246</v>
      </c>
      <c r="AE16" s="42">
        <f t="shared" ref="AE16:AE19" si="3">AD16*D16</f>
        <v>72.492000000000004</v>
      </c>
    </row>
    <row r="17" spans="1:32" s="42" customFormat="1" ht="27.75" customHeight="1">
      <c r="A17" s="27">
        <f>+C16+1</f>
        <v>21</v>
      </c>
      <c r="B17" s="28" t="s">
        <v>32</v>
      </c>
      <c r="C17" s="27">
        <f t="shared" si="0"/>
        <v>64</v>
      </c>
      <c r="D17" s="27">
        <f t="shared" si="1"/>
        <v>44</v>
      </c>
      <c r="E17" s="28"/>
      <c r="F17" s="83" t="s">
        <v>124</v>
      </c>
      <c r="G17" s="28" t="s">
        <v>123</v>
      </c>
      <c r="H17" s="30">
        <f>+H16</f>
        <v>4500498790</v>
      </c>
      <c r="I17" s="31"/>
      <c r="J17" s="31"/>
      <c r="K17" s="31">
        <v>6</v>
      </c>
      <c r="L17" s="31"/>
      <c r="M17" s="31"/>
      <c r="N17" s="30"/>
      <c r="O17" s="30"/>
      <c r="P17" s="30"/>
      <c r="Q17" s="28">
        <f t="shared" si="2"/>
        <v>6</v>
      </c>
      <c r="R17" s="28">
        <v>264</v>
      </c>
      <c r="S17" s="99"/>
      <c r="T17" s="99"/>
      <c r="U17" s="105">
        <f t="shared" ref="U17:U19" si="4">+S17*D17*Q17</f>
        <v>0</v>
      </c>
      <c r="V17" s="35">
        <f t="shared" ref="V17:V19" si="5">+T17*D17*Q17</f>
        <v>0</v>
      </c>
      <c r="W17" s="82">
        <f t="shared" ref="W17:W19" si="6">+ROUND(D17*X17*Y17*Z17/1000000,3)</f>
        <v>1.119</v>
      </c>
      <c r="X17" s="94">
        <v>58.42</v>
      </c>
      <c r="Y17" s="94">
        <v>38.1</v>
      </c>
      <c r="Z17" s="94">
        <v>11.43</v>
      </c>
      <c r="AA17" s="109" t="s">
        <v>131</v>
      </c>
      <c r="AB17" s="42" t="s">
        <v>118</v>
      </c>
      <c r="AD17" s="42">
        <f>0.4445*2+0.3683*4+0.12*12</f>
        <v>3.8022</v>
      </c>
      <c r="AE17" s="42">
        <f t="shared" si="3"/>
        <v>167.29679999999999</v>
      </c>
    </row>
    <row r="18" spans="1:32" s="42" customFormat="1" ht="27.75" customHeight="1">
      <c r="A18" s="27">
        <f t="shared" ref="A18:A19" si="7">+C17+1</f>
        <v>65</v>
      </c>
      <c r="B18" s="28" t="s">
        <v>32</v>
      </c>
      <c r="C18" s="27">
        <f t="shared" si="0"/>
        <v>116</v>
      </c>
      <c r="D18" s="27">
        <f t="shared" si="1"/>
        <v>52</v>
      </c>
      <c r="E18" s="28"/>
      <c r="F18" s="83" t="s">
        <v>124</v>
      </c>
      <c r="G18" s="28" t="s">
        <v>123</v>
      </c>
      <c r="H18" s="30">
        <f>+$H$16</f>
        <v>4500498790</v>
      </c>
      <c r="I18" s="31"/>
      <c r="J18" s="31"/>
      <c r="K18" s="31"/>
      <c r="L18" s="31">
        <v>6</v>
      </c>
      <c r="M18" s="31"/>
      <c r="N18" s="30"/>
      <c r="O18" s="30"/>
      <c r="P18" s="30"/>
      <c r="Q18" s="28">
        <f t="shared" si="2"/>
        <v>6</v>
      </c>
      <c r="R18" s="28">
        <v>312</v>
      </c>
      <c r="S18" s="99"/>
      <c r="T18" s="99"/>
      <c r="U18" s="105">
        <f t="shared" si="4"/>
        <v>0</v>
      </c>
      <c r="V18" s="35">
        <f t="shared" si="5"/>
        <v>0</v>
      </c>
      <c r="W18" s="82">
        <f t="shared" si="6"/>
        <v>1.5649999999999999</v>
      </c>
      <c r="X18" s="94">
        <v>64.77</v>
      </c>
      <c r="Y18" s="94">
        <v>40.64</v>
      </c>
      <c r="Z18" s="94">
        <v>11.43</v>
      </c>
      <c r="AA18" s="109" t="s">
        <v>132</v>
      </c>
      <c r="AB18" s="42" t="s">
        <v>118</v>
      </c>
      <c r="AD18" s="42">
        <f>0.4445*2+0.3683*4+0.12*12</f>
        <v>3.8022</v>
      </c>
      <c r="AE18" s="42">
        <f t="shared" si="3"/>
        <v>197.71440000000001</v>
      </c>
    </row>
    <row r="19" spans="1:32" s="42" customFormat="1" ht="27.75" customHeight="1">
      <c r="A19" s="27">
        <f t="shared" si="7"/>
        <v>117</v>
      </c>
      <c r="B19" s="28" t="s">
        <v>32</v>
      </c>
      <c r="C19" s="27">
        <f t="shared" si="0"/>
        <v>196</v>
      </c>
      <c r="D19" s="27">
        <f t="shared" si="1"/>
        <v>80</v>
      </c>
      <c r="E19" s="28"/>
      <c r="F19" s="83" t="s">
        <v>124</v>
      </c>
      <c r="G19" s="28" t="s">
        <v>123</v>
      </c>
      <c r="H19" s="30">
        <f t="shared" ref="H19" si="8">+$H$16</f>
        <v>4500498790</v>
      </c>
      <c r="I19" s="31"/>
      <c r="J19" s="31"/>
      <c r="K19" s="31"/>
      <c r="L19" s="31"/>
      <c r="M19" s="31">
        <v>6</v>
      </c>
      <c r="N19" s="30"/>
      <c r="O19" s="30"/>
      <c r="P19" s="30"/>
      <c r="Q19" s="28">
        <f t="shared" si="2"/>
        <v>6</v>
      </c>
      <c r="R19" s="28">
        <v>480</v>
      </c>
      <c r="S19" s="99"/>
      <c r="T19" s="99"/>
      <c r="U19" s="105">
        <f t="shared" si="4"/>
        <v>0</v>
      </c>
      <c r="V19" s="35">
        <f t="shared" si="5"/>
        <v>0</v>
      </c>
      <c r="W19" s="82">
        <f t="shared" si="6"/>
        <v>2.407</v>
      </c>
      <c r="X19" s="94">
        <v>64.77</v>
      </c>
      <c r="Y19" s="94">
        <v>40.64</v>
      </c>
      <c r="Z19" s="94">
        <v>11.43</v>
      </c>
      <c r="AA19" s="109" t="s">
        <v>132</v>
      </c>
      <c r="AB19" s="42" t="s">
        <v>118</v>
      </c>
      <c r="AD19" s="42">
        <f>0.5906*2+0.3874*4+0.12*12</f>
        <v>4.1707999999999998</v>
      </c>
      <c r="AE19" s="42">
        <f t="shared" si="3"/>
        <v>333.66399999999999</v>
      </c>
    </row>
    <row r="20" spans="1:32" s="42" customFormat="1" ht="24" customHeight="1">
      <c r="A20" s="219" t="s">
        <v>33</v>
      </c>
      <c r="B20" s="220"/>
      <c r="C20" s="221"/>
      <c r="D20" s="44">
        <f>SUM(D16:D19)</f>
        <v>196</v>
      </c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44">
        <f>SUM(R16:R19)</f>
        <v>1176</v>
      </c>
      <c r="S20" s="49"/>
      <c r="T20" s="49"/>
      <c r="U20" s="106">
        <f>SUM(U16:U19)</f>
        <v>0</v>
      </c>
      <c r="V20" s="106">
        <f>SUM(V16:V19)</f>
        <v>0</v>
      </c>
      <c r="W20" s="51">
        <f>SUM(W16:W19)</f>
        <v>5.6</v>
      </c>
      <c r="X20" s="52"/>
      <c r="Y20" s="3"/>
      <c r="Z20" s="53"/>
      <c r="AA20" s="8"/>
      <c r="AE20" s="110">
        <f>SUM(AE16:AE19)/86</f>
        <v>8.967060465116278</v>
      </c>
      <c r="AF20" s="42" t="s">
        <v>114</v>
      </c>
    </row>
    <row r="21" spans="1:32" s="42" customFormat="1" ht="12.75" customHeight="1">
      <c r="A21" s="54"/>
      <c r="B21" s="22"/>
      <c r="C21" s="22"/>
      <c r="D21" s="55"/>
      <c r="E21" s="55"/>
      <c r="F21" s="55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57"/>
      <c r="S21" s="22"/>
      <c r="T21" s="22"/>
      <c r="U21" s="57"/>
      <c r="V21" s="57"/>
      <c r="W21" s="58"/>
      <c r="X21" s="3"/>
      <c r="Y21" s="3"/>
      <c r="Z21" s="53"/>
      <c r="AA21" s="8"/>
    </row>
    <row r="22" spans="1:32" s="42" customFormat="1" ht="21.75" customHeight="1">
      <c r="A22" s="54"/>
      <c r="B22" s="22"/>
      <c r="C22" s="22"/>
      <c r="D22" s="55"/>
      <c r="E22" s="55"/>
      <c r="F22" s="55"/>
      <c r="G22" s="59" t="s">
        <v>34</v>
      </c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60"/>
      <c r="S22" s="22"/>
      <c r="T22" s="56"/>
      <c r="U22" s="57"/>
      <c r="V22" s="57"/>
      <c r="W22" s="61"/>
      <c r="X22" s="3"/>
      <c r="Y22" s="3"/>
      <c r="Z22" s="53"/>
      <c r="AA22" s="8"/>
    </row>
    <row r="23" spans="1:32" s="64" customFormat="1" ht="21.75" customHeight="1">
      <c r="A23" s="62"/>
      <c r="B23" s="62"/>
      <c r="C23" s="62"/>
      <c r="D23" s="62"/>
      <c r="E23" s="62"/>
      <c r="F23" s="222" t="str">
        <f>+F13</f>
        <v>STYLE</v>
      </c>
      <c r="G23" s="222" t="s">
        <v>15</v>
      </c>
      <c r="H23" s="270" t="str">
        <f>+H13</f>
        <v>Po#</v>
      </c>
      <c r="I23" s="266">
        <v>8</v>
      </c>
      <c r="J23" s="266">
        <v>10</v>
      </c>
      <c r="K23" s="266">
        <v>12</v>
      </c>
      <c r="L23" s="266">
        <v>14</v>
      </c>
      <c r="M23" s="266">
        <v>16</v>
      </c>
      <c r="N23" s="266">
        <v>18</v>
      </c>
      <c r="O23" s="272">
        <v>20</v>
      </c>
      <c r="P23" s="211" t="s">
        <v>28</v>
      </c>
      <c r="Q23" s="222" t="s">
        <v>35</v>
      </c>
      <c r="R23" s="63"/>
      <c r="S23" s="62"/>
      <c r="T23" s="62"/>
      <c r="U23" s="62"/>
      <c r="V23" s="62"/>
      <c r="W23" s="61"/>
      <c r="X23" s="64">
        <f>14.01+10.39</f>
        <v>24.4</v>
      </c>
      <c r="AA23" s="12"/>
    </row>
    <row r="24" spans="1:32" s="64" customFormat="1" ht="20.25" customHeight="1" thickBot="1">
      <c r="B24" s="65"/>
      <c r="C24" s="65"/>
      <c r="D24" s="66"/>
      <c r="E24" s="66"/>
      <c r="F24" s="223"/>
      <c r="G24" s="223"/>
      <c r="H24" s="271"/>
      <c r="I24" s="266"/>
      <c r="J24" s="266">
        <v>10</v>
      </c>
      <c r="K24" s="266"/>
      <c r="L24" s="266"/>
      <c r="M24" s="266"/>
      <c r="N24" s="266"/>
      <c r="O24" s="272"/>
      <c r="P24" s="212"/>
      <c r="Q24" s="223"/>
      <c r="R24" s="65"/>
      <c r="S24" s="65"/>
      <c r="T24" s="65"/>
      <c r="U24" s="65"/>
      <c r="V24" s="65"/>
      <c r="AA24" s="12"/>
    </row>
    <row r="25" spans="1:32" s="64" customFormat="1" ht="23.25" customHeight="1">
      <c r="B25" s="65"/>
      <c r="C25" s="65"/>
      <c r="D25" s="65"/>
      <c r="E25" s="65"/>
      <c r="F25" s="107" t="str">
        <f>+F16</f>
        <v>25K4J0095N-022-PC</v>
      </c>
      <c r="G25" s="107" t="str">
        <f>+G16</f>
        <v>OXFORD GREY</v>
      </c>
      <c r="H25" s="68">
        <f>+H16</f>
        <v>4500498790</v>
      </c>
      <c r="I25" s="86">
        <f t="shared" ref="I25:O25" si="9">+I16*$D$16</f>
        <v>0</v>
      </c>
      <c r="J25" s="86">
        <f t="shared" si="9"/>
        <v>120</v>
      </c>
      <c r="K25" s="86">
        <f t="shared" si="9"/>
        <v>0</v>
      </c>
      <c r="L25" s="86">
        <f t="shared" si="9"/>
        <v>0</v>
      </c>
      <c r="M25" s="86">
        <f t="shared" si="9"/>
        <v>0</v>
      </c>
      <c r="N25" s="86">
        <f t="shared" si="9"/>
        <v>0</v>
      </c>
      <c r="O25" s="86">
        <f t="shared" si="9"/>
        <v>0</v>
      </c>
      <c r="P25" s="86">
        <f>+$I$16*K16</f>
        <v>0</v>
      </c>
      <c r="Q25" s="71">
        <f>SUM(I25:O25)</f>
        <v>120</v>
      </c>
      <c r="R25" s="62"/>
      <c r="S25" s="62"/>
      <c r="T25" s="62"/>
      <c r="U25" s="62"/>
      <c r="V25" s="62"/>
      <c r="W25" s="61"/>
      <c r="AA25" s="12"/>
    </row>
    <row r="26" spans="1:32" s="64" customFormat="1" ht="23.25" customHeight="1">
      <c r="B26" s="65"/>
      <c r="C26" s="65"/>
      <c r="D26" s="65"/>
      <c r="E26" s="65"/>
      <c r="F26" s="107" t="str">
        <f>+F25</f>
        <v>25K4J0095N-022-PC</v>
      </c>
      <c r="G26" s="107" t="str">
        <f>+G25</f>
        <v>OXFORD GREY</v>
      </c>
      <c r="H26" s="68">
        <f>+H25</f>
        <v>4500498790</v>
      </c>
      <c r="I26" s="86">
        <f t="shared" ref="I26:O26" si="10">+I17*$D$17</f>
        <v>0</v>
      </c>
      <c r="J26" s="86">
        <f t="shared" si="10"/>
        <v>0</v>
      </c>
      <c r="K26" s="86">
        <f t="shared" si="10"/>
        <v>264</v>
      </c>
      <c r="L26" s="86">
        <f t="shared" si="10"/>
        <v>0</v>
      </c>
      <c r="M26" s="86">
        <f t="shared" si="10"/>
        <v>0</v>
      </c>
      <c r="N26" s="86">
        <f t="shared" si="10"/>
        <v>0</v>
      </c>
      <c r="O26" s="86">
        <f t="shared" si="10"/>
        <v>0</v>
      </c>
      <c r="P26" s="69">
        <v>0</v>
      </c>
      <c r="Q26" s="71">
        <f t="shared" ref="Q26:Q28" si="11">SUM(I26:O26)</f>
        <v>264</v>
      </c>
      <c r="R26" s="62"/>
      <c r="S26" s="62"/>
      <c r="T26" s="62"/>
      <c r="U26" s="62"/>
      <c r="V26" s="62"/>
      <c r="W26" s="61"/>
      <c r="AA26" s="12"/>
    </row>
    <row r="27" spans="1:32" s="64" customFormat="1" ht="23.25" customHeight="1">
      <c r="B27" s="65"/>
      <c r="C27" s="65"/>
      <c r="D27" s="65"/>
      <c r="E27" s="65"/>
      <c r="F27" s="107" t="str">
        <f>+F16</f>
        <v>25K4J0095N-022-PC</v>
      </c>
      <c r="G27" s="107" t="str">
        <f>+G16</f>
        <v>OXFORD GREY</v>
      </c>
      <c r="H27" s="68">
        <f>+H16</f>
        <v>4500498790</v>
      </c>
      <c r="I27" s="86">
        <f t="shared" ref="I27:O27" si="12">+I18*$D$18</f>
        <v>0</v>
      </c>
      <c r="J27" s="86">
        <f t="shared" si="12"/>
        <v>0</v>
      </c>
      <c r="K27" s="86">
        <f t="shared" si="12"/>
        <v>0</v>
      </c>
      <c r="L27" s="86">
        <f t="shared" si="12"/>
        <v>312</v>
      </c>
      <c r="M27" s="86">
        <f t="shared" si="12"/>
        <v>0</v>
      </c>
      <c r="N27" s="86">
        <f t="shared" si="12"/>
        <v>0</v>
      </c>
      <c r="O27" s="86">
        <f t="shared" si="12"/>
        <v>0</v>
      </c>
      <c r="P27" s="69">
        <v>0</v>
      </c>
      <c r="Q27" s="71">
        <f t="shared" si="11"/>
        <v>312</v>
      </c>
      <c r="R27" s="62"/>
      <c r="S27" s="62"/>
      <c r="T27" s="62"/>
      <c r="U27" s="62"/>
      <c r="V27" s="62"/>
      <c r="W27" s="61"/>
      <c r="AA27" s="12"/>
    </row>
    <row r="28" spans="1:32" s="64" customFormat="1" ht="23.25" customHeight="1">
      <c r="B28" s="65"/>
      <c r="C28" s="65"/>
      <c r="D28" s="65"/>
      <c r="E28" s="65"/>
      <c r="F28" s="107" t="str">
        <f>+F19</f>
        <v>25K4J0095N-022-PC</v>
      </c>
      <c r="G28" s="107" t="str">
        <f>+G19</f>
        <v>OXFORD GREY</v>
      </c>
      <c r="H28" s="68">
        <f>+H19</f>
        <v>4500498790</v>
      </c>
      <c r="I28" s="86">
        <f t="shared" ref="I28:O28" si="13">+I19*$D$19</f>
        <v>0</v>
      </c>
      <c r="J28" s="86">
        <f t="shared" si="13"/>
        <v>0</v>
      </c>
      <c r="K28" s="86">
        <f t="shared" si="13"/>
        <v>0</v>
      </c>
      <c r="L28" s="86">
        <f t="shared" si="13"/>
        <v>0</v>
      </c>
      <c r="M28" s="86">
        <f t="shared" si="13"/>
        <v>480</v>
      </c>
      <c r="N28" s="86">
        <f t="shared" si="13"/>
        <v>0</v>
      </c>
      <c r="O28" s="86">
        <f t="shared" si="13"/>
        <v>0</v>
      </c>
      <c r="P28" s="70"/>
      <c r="Q28" s="71">
        <f t="shared" si="11"/>
        <v>480</v>
      </c>
      <c r="R28" s="62"/>
      <c r="S28" s="62"/>
      <c r="T28" s="62"/>
      <c r="U28" s="62"/>
      <c r="V28" s="62"/>
      <c r="W28" s="61"/>
      <c r="AA28" s="12"/>
    </row>
    <row r="29" spans="1:32" s="64" customFormat="1" ht="19.5" customHeight="1">
      <c r="A29" s="62"/>
      <c r="B29" s="62"/>
      <c r="C29" s="62"/>
      <c r="D29" s="62"/>
      <c r="E29" s="62"/>
      <c r="F29" s="62"/>
      <c r="G29" s="72" t="s">
        <v>33</v>
      </c>
      <c r="H29" s="68"/>
      <c r="I29" s="71">
        <f t="shared" ref="I29:O29" si="14">SUM(I25:I28)</f>
        <v>0</v>
      </c>
      <c r="J29" s="71">
        <f t="shared" si="14"/>
        <v>120</v>
      </c>
      <c r="K29" s="71">
        <f t="shared" si="14"/>
        <v>264</v>
      </c>
      <c r="L29" s="71">
        <f t="shared" si="14"/>
        <v>312</v>
      </c>
      <c r="M29" s="71">
        <f t="shared" si="14"/>
        <v>480</v>
      </c>
      <c r="N29" s="71">
        <f t="shared" si="14"/>
        <v>0</v>
      </c>
      <c r="O29" s="71">
        <f t="shared" si="14"/>
        <v>0</v>
      </c>
      <c r="P29" s="71"/>
      <c r="Q29" s="71">
        <f>SUM(I29:P29)</f>
        <v>1176</v>
      </c>
      <c r="R29" s="62"/>
      <c r="S29" s="63"/>
      <c r="T29" s="62"/>
      <c r="U29" s="62"/>
      <c r="V29" s="62"/>
      <c r="W29" s="61"/>
    </row>
    <row r="30" spans="1:32">
      <c r="V30" s="74"/>
    </row>
    <row r="31" spans="1:32">
      <c r="K31" s="108" t="s">
        <v>0</v>
      </c>
    </row>
    <row r="33" spans="7:21">
      <c r="R33" s="75"/>
      <c r="S33" s="76"/>
      <c r="T33" s="76"/>
      <c r="U33" s="76"/>
    </row>
    <row r="34" spans="7:21">
      <c r="R34" s="76"/>
      <c r="S34" s="76"/>
      <c r="T34" s="76"/>
      <c r="U34" s="76"/>
    </row>
    <row r="35" spans="7:21">
      <c r="R35" s="76"/>
      <c r="S35" s="76"/>
      <c r="T35" s="76"/>
      <c r="U35" s="76"/>
    </row>
    <row r="36" spans="7:21">
      <c r="G36" s="77"/>
      <c r="R36" s="76"/>
      <c r="S36" s="76"/>
      <c r="T36" s="76"/>
      <c r="U36" s="76"/>
    </row>
    <row r="37" spans="7:21">
      <c r="G37" s="78"/>
      <c r="R37" s="76"/>
      <c r="S37" s="76"/>
      <c r="T37" s="76"/>
      <c r="U37" s="76"/>
    </row>
    <row r="38" spans="7:21">
      <c r="G38" s="77"/>
      <c r="H38" s="77"/>
      <c r="S38" s="76"/>
      <c r="T38" s="76"/>
      <c r="U38" s="76"/>
    </row>
  </sheetData>
  <autoFilter ref="A15:DC19">
    <filterColumn colId="0" showButton="0"/>
    <filterColumn colId="1" showButton="0"/>
  </autoFilter>
  <mergeCells count="40">
    <mergeCell ref="Q23:Q24"/>
    <mergeCell ref="K23:K24"/>
    <mergeCell ref="L23:L24"/>
    <mergeCell ref="M23:M24"/>
    <mergeCell ref="N23:N24"/>
    <mergeCell ref="O23:O24"/>
    <mergeCell ref="P23:P24"/>
    <mergeCell ref="A20:C20"/>
    <mergeCell ref="F23:F24"/>
    <mergeCell ref="G23:G24"/>
    <mergeCell ref="H23:H24"/>
    <mergeCell ref="I23:I24"/>
    <mergeCell ref="J23:J24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I13:P13"/>
    <mergeCell ref="Q13:Q15"/>
    <mergeCell ref="R13:R15"/>
    <mergeCell ref="W13:W15"/>
    <mergeCell ref="X13:Z14"/>
    <mergeCell ref="AA13:AA15"/>
    <mergeCell ref="H13:H15"/>
    <mergeCell ref="A1:Z1"/>
    <mergeCell ref="A2:Z2"/>
    <mergeCell ref="A3:Z3"/>
    <mergeCell ref="A4:Z4"/>
    <mergeCell ref="A6:Z6"/>
    <mergeCell ref="C12:D12"/>
    <mergeCell ref="A13:C15"/>
    <mergeCell ref="D13:D15"/>
    <mergeCell ref="E13:E15"/>
    <mergeCell ref="F13:F15"/>
    <mergeCell ref="G13:G15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8"/>
  <sheetViews>
    <sheetView zoomScale="80" zoomScaleNormal="80" zoomScaleSheetLayoutView="73" workbookViewId="0">
      <pane xSplit="8" ySplit="15" topLeftCell="V16" activePane="bottomRight" state="frozen"/>
      <selection pane="topRight" activeCell="H1" sqref="H1"/>
      <selection pane="bottomLeft" activeCell="A13" sqref="A13"/>
      <selection pane="bottomRight" activeCell="W16" sqref="W16:W1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122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4500498790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117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13" t="s">
        <v>121</v>
      </c>
      <c r="E10" s="15"/>
      <c r="F10" s="14"/>
      <c r="G10" s="10" t="s">
        <v>115</v>
      </c>
      <c r="H10" s="7" t="s">
        <v>42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1176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11" t="s">
        <v>120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25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/>
      <c r="J14" s="227">
        <v>4</v>
      </c>
      <c r="K14" s="227">
        <v>5</v>
      </c>
      <c r="L14" s="227">
        <v>6</v>
      </c>
      <c r="M14" s="227">
        <v>7</v>
      </c>
      <c r="N14" s="227"/>
      <c r="O14" s="267"/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6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19" si="0">+A16+D16-1</f>
        <v>28</v>
      </c>
      <c r="D16" s="27">
        <f t="shared" ref="D16:D19" si="1">+R16/Q16</f>
        <v>28</v>
      </c>
      <c r="E16" s="28"/>
      <c r="F16" s="83" t="s">
        <v>122</v>
      </c>
      <c r="G16" s="28" t="s">
        <v>119</v>
      </c>
      <c r="H16" s="30">
        <f>+D8</f>
        <v>4500498790</v>
      </c>
      <c r="I16" s="31"/>
      <c r="J16" s="31">
        <v>6</v>
      </c>
      <c r="K16" s="31"/>
      <c r="L16" s="31"/>
      <c r="M16" s="31"/>
      <c r="N16" s="30"/>
      <c r="O16" s="30"/>
      <c r="P16" s="30"/>
      <c r="Q16" s="28">
        <f t="shared" ref="Q16:Q19" si="2">+SUM(I16:P16)</f>
        <v>6</v>
      </c>
      <c r="R16" s="28">
        <v>168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0.71199999999999997</v>
      </c>
      <c r="X16" s="94">
        <f>23*2.54</f>
        <v>58.42</v>
      </c>
      <c r="Y16" s="94">
        <f>15*2.54</f>
        <v>38.1</v>
      </c>
      <c r="Z16" s="94">
        <f>4.5*2.54</f>
        <v>11.43</v>
      </c>
      <c r="AA16" s="109" t="s">
        <v>131</v>
      </c>
      <c r="AB16" s="42" t="s">
        <v>118</v>
      </c>
      <c r="AD16" s="42">
        <f>0.4191*2+0.3366*4+0.12*12</f>
        <v>3.6246</v>
      </c>
      <c r="AE16" s="42">
        <f t="shared" ref="AE16:AE19" si="3">AD16*D16</f>
        <v>101.4888</v>
      </c>
    </row>
    <row r="17" spans="1:32" s="42" customFormat="1" ht="27.75" customHeight="1">
      <c r="A17" s="27">
        <f>+C16+1</f>
        <v>29</v>
      </c>
      <c r="B17" s="28" t="s">
        <v>32</v>
      </c>
      <c r="C17" s="27">
        <f t="shared" si="0"/>
        <v>60</v>
      </c>
      <c r="D17" s="27">
        <f t="shared" si="1"/>
        <v>32</v>
      </c>
      <c r="E17" s="28"/>
      <c r="F17" s="83" t="s">
        <v>122</v>
      </c>
      <c r="G17" s="28" t="s">
        <v>119</v>
      </c>
      <c r="H17" s="30">
        <f>+H16</f>
        <v>4500498790</v>
      </c>
      <c r="I17" s="31"/>
      <c r="J17" s="31"/>
      <c r="K17" s="31">
        <v>6</v>
      </c>
      <c r="L17" s="31"/>
      <c r="M17" s="31"/>
      <c r="N17" s="30"/>
      <c r="O17" s="30"/>
      <c r="P17" s="30"/>
      <c r="Q17" s="28">
        <f t="shared" si="2"/>
        <v>6</v>
      </c>
      <c r="R17" s="28">
        <v>192</v>
      </c>
      <c r="S17" s="99"/>
      <c r="T17" s="99"/>
      <c r="U17" s="105">
        <f t="shared" ref="U17:U19" si="4">+S17*D17*Q17</f>
        <v>0</v>
      </c>
      <c r="V17" s="35">
        <f t="shared" ref="V17:V19" si="5">+T17*D17*Q17</f>
        <v>0</v>
      </c>
      <c r="W17" s="82">
        <f t="shared" ref="W17:W19" si="6">+ROUND(D17*X17*Y17*Z17/1000000,3)</f>
        <v>0.81399999999999995</v>
      </c>
      <c r="X17" s="94">
        <f>23*2.54</f>
        <v>58.42</v>
      </c>
      <c r="Y17" s="94">
        <f>15*2.54</f>
        <v>38.1</v>
      </c>
      <c r="Z17" s="94">
        <f>4.5*2.54</f>
        <v>11.43</v>
      </c>
      <c r="AA17" s="109" t="s">
        <v>131</v>
      </c>
      <c r="AB17" s="42" t="s">
        <v>118</v>
      </c>
      <c r="AD17" s="42">
        <f>0.4445*2+0.3683*4+0.12*12</f>
        <v>3.8022</v>
      </c>
      <c r="AE17" s="42">
        <f t="shared" si="3"/>
        <v>121.6704</v>
      </c>
    </row>
    <row r="18" spans="1:32" s="42" customFormat="1" ht="27.75" customHeight="1">
      <c r="A18" s="27">
        <f t="shared" ref="A18:A19" si="7">+C17+1</f>
        <v>61</v>
      </c>
      <c r="B18" s="28" t="s">
        <v>32</v>
      </c>
      <c r="C18" s="27">
        <f t="shared" si="0"/>
        <v>120</v>
      </c>
      <c r="D18" s="27">
        <f t="shared" si="1"/>
        <v>60</v>
      </c>
      <c r="E18" s="28"/>
      <c r="F18" s="83" t="s">
        <v>122</v>
      </c>
      <c r="G18" s="28" t="s">
        <v>119</v>
      </c>
      <c r="H18" s="30">
        <f>+$H$16</f>
        <v>4500498790</v>
      </c>
      <c r="I18" s="31"/>
      <c r="J18" s="31"/>
      <c r="K18" s="31"/>
      <c r="L18" s="31">
        <v>6</v>
      </c>
      <c r="M18" s="31"/>
      <c r="N18" s="30"/>
      <c r="O18" s="30"/>
      <c r="P18" s="30"/>
      <c r="Q18" s="28">
        <f t="shared" si="2"/>
        <v>6</v>
      </c>
      <c r="R18" s="28">
        <v>360</v>
      </c>
      <c r="S18" s="99"/>
      <c r="T18" s="99"/>
      <c r="U18" s="105">
        <f t="shared" si="4"/>
        <v>0</v>
      </c>
      <c r="V18" s="35">
        <f t="shared" si="5"/>
        <v>0</v>
      </c>
      <c r="W18" s="82">
        <f t="shared" si="6"/>
        <v>1.8049999999999999</v>
      </c>
      <c r="X18" s="94">
        <f>25.5*2.54</f>
        <v>64.77</v>
      </c>
      <c r="Y18" s="94">
        <f>16*2.54</f>
        <v>40.64</v>
      </c>
      <c r="Z18" s="94">
        <f>4.5*2.54</f>
        <v>11.43</v>
      </c>
      <c r="AA18" s="109" t="s">
        <v>132</v>
      </c>
      <c r="AB18" s="42" t="s">
        <v>118</v>
      </c>
      <c r="AD18" s="42">
        <f>0.4445*2+0.3683*4+0.12*12</f>
        <v>3.8022</v>
      </c>
      <c r="AE18" s="42">
        <f t="shared" si="3"/>
        <v>228.13200000000001</v>
      </c>
    </row>
    <row r="19" spans="1:32" s="42" customFormat="1" ht="27.75" customHeight="1">
      <c r="A19" s="27">
        <f t="shared" si="7"/>
        <v>121</v>
      </c>
      <c r="B19" s="28" t="s">
        <v>32</v>
      </c>
      <c r="C19" s="27">
        <f t="shared" si="0"/>
        <v>196</v>
      </c>
      <c r="D19" s="27">
        <f t="shared" si="1"/>
        <v>76</v>
      </c>
      <c r="E19" s="28"/>
      <c r="F19" s="83" t="s">
        <v>122</v>
      </c>
      <c r="G19" s="28" t="s">
        <v>119</v>
      </c>
      <c r="H19" s="30">
        <f t="shared" ref="H19" si="8">+$H$16</f>
        <v>4500498790</v>
      </c>
      <c r="I19" s="31"/>
      <c r="J19" s="31"/>
      <c r="K19" s="31"/>
      <c r="L19" s="31"/>
      <c r="M19" s="31">
        <v>6</v>
      </c>
      <c r="N19" s="30"/>
      <c r="O19" s="30"/>
      <c r="P19" s="30"/>
      <c r="Q19" s="28">
        <f t="shared" si="2"/>
        <v>6</v>
      </c>
      <c r="R19" s="28">
        <v>456</v>
      </c>
      <c r="S19" s="99"/>
      <c r="T19" s="99"/>
      <c r="U19" s="105">
        <f t="shared" si="4"/>
        <v>0</v>
      </c>
      <c r="V19" s="35">
        <f t="shared" si="5"/>
        <v>0</v>
      </c>
      <c r="W19" s="82">
        <f t="shared" si="6"/>
        <v>2.2869999999999999</v>
      </c>
      <c r="X19" s="94">
        <f>25.5*2.54</f>
        <v>64.77</v>
      </c>
      <c r="Y19" s="94">
        <f>16*2.54</f>
        <v>40.64</v>
      </c>
      <c r="Z19" s="94">
        <f>4.5*2.54</f>
        <v>11.43</v>
      </c>
      <c r="AA19" s="109" t="s">
        <v>132</v>
      </c>
      <c r="AB19" s="42" t="s">
        <v>118</v>
      </c>
      <c r="AD19" s="42">
        <f>0.5906*2+0.3874*4+0.12*12</f>
        <v>4.1707999999999998</v>
      </c>
      <c r="AE19" s="42">
        <f t="shared" si="3"/>
        <v>316.98079999999999</v>
      </c>
    </row>
    <row r="20" spans="1:32" s="42" customFormat="1" ht="24" customHeight="1">
      <c r="A20" s="219" t="s">
        <v>33</v>
      </c>
      <c r="B20" s="220"/>
      <c r="C20" s="221"/>
      <c r="D20" s="44">
        <f>SUM(D16:D19)</f>
        <v>196</v>
      </c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44">
        <f>SUM(R16:R19)</f>
        <v>1176</v>
      </c>
      <c r="S20" s="49"/>
      <c r="T20" s="49"/>
      <c r="U20" s="106">
        <f>SUM(U16:U19)</f>
        <v>0</v>
      </c>
      <c r="V20" s="106">
        <f>SUM(V16:V19)</f>
        <v>0</v>
      </c>
      <c r="W20" s="51">
        <f>SUM(W16:W19)</f>
        <v>5.6179999999999994</v>
      </c>
      <c r="X20" s="52"/>
      <c r="Y20" s="3"/>
      <c r="Z20" s="53"/>
      <c r="AA20" s="8"/>
      <c r="AE20" s="110">
        <f>SUM(AE16:AE19)/86</f>
        <v>8.9333953488372089</v>
      </c>
      <c r="AF20" s="42" t="s">
        <v>114</v>
      </c>
    </row>
    <row r="21" spans="1:32" s="42" customFormat="1" ht="12.75" customHeight="1">
      <c r="A21" s="54"/>
      <c r="B21" s="22"/>
      <c r="C21" s="22"/>
      <c r="D21" s="55"/>
      <c r="E21" s="55"/>
      <c r="F21" s="55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57"/>
      <c r="S21" s="22"/>
      <c r="T21" s="22"/>
      <c r="U21" s="57"/>
      <c r="V21" s="57"/>
      <c r="W21" s="58"/>
      <c r="X21" s="3"/>
      <c r="Y21" s="3"/>
      <c r="Z21" s="53"/>
      <c r="AA21" s="8"/>
    </row>
    <row r="22" spans="1:32" s="42" customFormat="1" ht="21.75" customHeight="1">
      <c r="A22" s="54"/>
      <c r="B22" s="22"/>
      <c r="C22" s="22"/>
      <c r="D22" s="55"/>
      <c r="E22" s="55"/>
      <c r="F22" s="55"/>
      <c r="G22" s="59" t="s">
        <v>34</v>
      </c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60"/>
      <c r="S22" s="22"/>
      <c r="T22" s="56"/>
      <c r="U22" s="57"/>
      <c r="V22" s="57"/>
      <c r="W22" s="61"/>
      <c r="X22" s="3"/>
      <c r="Y22" s="3"/>
      <c r="Z22" s="53"/>
      <c r="AA22" s="8"/>
    </row>
    <row r="23" spans="1:32" s="64" customFormat="1" ht="21.75" customHeight="1">
      <c r="A23" s="62"/>
      <c r="B23" s="62"/>
      <c r="C23" s="62"/>
      <c r="D23" s="62"/>
      <c r="E23" s="62"/>
      <c r="F23" s="222" t="str">
        <f>+F13</f>
        <v>STYLE</v>
      </c>
      <c r="G23" s="222" t="s">
        <v>15</v>
      </c>
      <c r="H23" s="270" t="str">
        <f>+H13</f>
        <v>Po#</v>
      </c>
      <c r="I23" s="266">
        <v>8</v>
      </c>
      <c r="J23" s="266">
        <v>10</v>
      </c>
      <c r="K23" s="266">
        <v>12</v>
      </c>
      <c r="L23" s="266">
        <v>14</v>
      </c>
      <c r="M23" s="266">
        <v>16</v>
      </c>
      <c r="N23" s="266">
        <v>18</v>
      </c>
      <c r="O23" s="272">
        <v>20</v>
      </c>
      <c r="P23" s="211" t="s">
        <v>28</v>
      </c>
      <c r="Q23" s="222" t="s">
        <v>35</v>
      </c>
      <c r="R23" s="63"/>
      <c r="S23" s="62"/>
      <c r="T23" s="62"/>
      <c r="U23" s="62"/>
      <c r="V23" s="62"/>
      <c r="W23" s="61"/>
      <c r="X23" s="64">
        <f>14.01+10.39</f>
        <v>24.4</v>
      </c>
      <c r="AA23" s="12"/>
    </row>
    <row r="24" spans="1:32" s="64" customFormat="1" ht="20.25" customHeight="1" thickBot="1">
      <c r="B24" s="65"/>
      <c r="C24" s="65"/>
      <c r="D24" s="66"/>
      <c r="E24" s="66"/>
      <c r="F24" s="223"/>
      <c r="G24" s="223"/>
      <c r="H24" s="271"/>
      <c r="I24" s="266"/>
      <c r="J24" s="266">
        <v>10</v>
      </c>
      <c r="K24" s="266"/>
      <c r="L24" s="266"/>
      <c r="M24" s="266"/>
      <c r="N24" s="266"/>
      <c r="O24" s="272"/>
      <c r="P24" s="212"/>
      <c r="Q24" s="223"/>
      <c r="R24" s="65"/>
      <c r="S24" s="65"/>
      <c r="T24" s="65"/>
      <c r="U24" s="65"/>
      <c r="V24" s="65"/>
      <c r="AA24" s="12"/>
    </row>
    <row r="25" spans="1:32" s="64" customFormat="1" ht="23.25" customHeight="1">
      <c r="B25" s="65"/>
      <c r="C25" s="65"/>
      <c r="D25" s="65"/>
      <c r="E25" s="65"/>
      <c r="F25" s="107" t="str">
        <f>+F16</f>
        <v>25K4J0095N-001-PC</v>
      </c>
      <c r="G25" s="107" t="str">
        <f>+G16</f>
        <v>BLACK</v>
      </c>
      <c r="H25" s="68">
        <f>+H16</f>
        <v>4500498790</v>
      </c>
      <c r="I25" s="86">
        <f t="shared" ref="I25:O25" si="9">+I16*$D$16</f>
        <v>0</v>
      </c>
      <c r="J25" s="86">
        <f t="shared" si="9"/>
        <v>168</v>
      </c>
      <c r="K25" s="86">
        <f t="shared" si="9"/>
        <v>0</v>
      </c>
      <c r="L25" s="86">
        <f t="shared" si="9"/>
        <v>0</v>
      </c>
      <c r="M25" s="86">
        <f t="shared" si="9"/>
        <v>0</v>
      </c>
      <c r="N25" s="86">
        <f t="shared" si="9"/>
        <v>0</v>
      </c>
      <c r="O25" s="86">
        <f t="shared" si="9"/>
        <v>0</v>
      </c>
      <c r="P25" s="86">
        <f>+$I$16*K16</f>
        <v>0</v>
      </c>
      <c r="Q25" s="71">
        <f>SUM(I25:O25)</f>
        <v>168</v>
      </c>
      <c r="R25" s="62"/>
      <c r="S25" s="62"/>
      <c r="T25" s="62"/>
      <c r="U25" s="62"/>
      <c r="V25" s="62"/>
      <c r="W25" s="61"/>
      <c r="AA25" s="12"/>
    </row>
    <row r="26" spans="1:32" s="64" customFormat="1" ht="23.25" customHeight="1">
      <c r="B26" s="65"/>
      <c r="C26" s="65"/>
      <c r="D26" s="65"/>
      <c r="E26" s="65"/>
      <c r="F26" s="107" t="str">
        <f>+F25</f>
        <v>25K4J0095N-001-PC</v>
      </c>
      <c r="G26" s="107" t="str">
        <f>+G25</f>
        <v>BLACK</v>
      </c>
      <c r="H26" s="68">
        <f>+H25</f>
        <v>4500498790</v>
      </c>
      <c r="I26" s="86">
        <f t="shared" ref="I26:O26" si="10">+I17*$D$17</f>
        <v>0</v>
      </c>
      <c r="J26" s="86">
        <f t="shared" si="10"/>
        <v>0</v>
      </c>
      <c r="K26" s="86">
        <f t="shared" si="10"/>
        <v>192</v>
      </c>
      <c r="L26" s="86">
        <f t="shared" si="10"/>
        <v>0</v>
      </c>
      <c r="M26" s="86">
        <f t="shared" si="10"/>
        <v>0</v>
      </c>
      <c r="N26" s="86">
        <f t="shared" si="10"/>
        <v>0</v>
      </c>
      <c r="O26" s="86">
        <f t="shared" si="10"/>
        <v>0</v>
      </c>
      <c r="P26" s="69">
        <v>0</v>
      </c>
      <c r="Q26" s="71">
        <f t="shared" ref="Q26:Q28" si="11">SUM(I26:O26)</f>
        <v>192</v>
      </c>
      <c r="R26" s="62"/>
      <c r="S26" s="62"/>
      <c r="T26" s="62"/>
      <c r="U26" s="62"/>
      <c r="V26" s="62"/>
      <c r="W26" s="61"/>
      <c r="AA26" s="12"/>
    </row>
    <row r="27" spans="1:32" s="64" customFormat="1" ht="23.25" customHeight="1">
      <c r="B27" s="65"/>
      <c r="C27" s="65"/>
      <c r="D27" s="65"/>
      <c r="E27" s="65"/>
      <c r="F27" s="107" t="str">
        <f>+F16</f>
        <v>25K4J0095N-001-PC</v>
      </c>
      <c r="G27" s="107" t="str">
        <f>+G16</f>
        <v>BLACK</v>
      </c>
      <c r="H27" s="68">
        <f>+H16</f>
        <v>4500498790</v>
      </c>
      <c r="I27" s="86">
        <f t="shared" ref="I27:O27" si="12">+I18*$D$18</f>
        <v>0</v>
      </c>
      <c r="J27" s="86">
        <f t="shared" si="12"/>
        <v>0</v>
      </c>
      <c r="K27" s="86">
        <f t="shared" si="12"/>
        <v>0</v>
      </c>
      <c r="L27" s="86">
        <f t="shared" si="12"/>
        <v>360</v>
      </c>
      <c r="M27" s="86">
        <f t="shared" si="12"/>
        <v>0</v>
      </c>
      <c r="N27" s="86">
        <f t="shared" si="12"/>
        <v>0</v>
      </c>
      <c r="O27" s="86">
        <f t="shared" si="12"/>
        <v>0</v>
      </c>
      <c r="P27" s="69">
        <v>0</v>
      </c>
      <c r="Q27" s="71">
        <f t="shared" si="11"/>
        <v>360</v>
      </c>
      <c r="R27" s="62"/>
      <c r="S27" s="62"/>
      <c r="T27" s="62"/>
      <c r="U27" s="62"/>
      <c r="V27" s="62"/>
      <c r="W27" s="61"/>
      <c r="AA27" s="12"/>
    </row>
    <row r="28" spans="1:32" s="64" customFormat="1" ht="23.25" customHeight="1">
      <c r="B28" s="65"/>
      <c r="C28" s="65"/>
      <c r="D28" s="65"/>
      <c r="E28" s="65"/>
      <c r="F28" s="107" t="str">
        <f>+F19</f>
        <v>25K4J0095N-001-PC</v>
      </c>
      <c r="G28" s="107" t="str">
        <f>+G19</f>
        <v>BLACK</v>
      </c>
      <c r="H28" s="68">
        <f>+H19</f>
        <v>4500498790</v>
      </c>
      <c r="I28" s="86">
        <f t="shared" ref="I28:O28" si="13">+I19*$D$19</f>
        <v>0</v>
      </c>
      <c r="J28" s="86">
        <f t="shared" si="13"/>
        <v>0</v>
      </c>
      <c r="K28" s="86">
        <f t="shared" si="13"/>
        <v>0</v>
      </c>
      <c r="L28" s="86">
        <f t="shared" si="13"/>
        <v>0</v>
      </c>
      <c r="M28" s="86">
        <f t="shared" si="13"/>
        <v>456</v>
      </c>
      <c r="N28" s="86">
        <f t="shared" si="13"/>
        <v>0</v>
      </c>
      <c r="O28" s="86">
        <f t="shared" si="13"/>
        <v>0</v>
      </c>
      <c r="P28" s="70"/>
      <c r="Q28" s="71">
        <f t="shared" si="11"/>
        <v>456</v>
      </c>
      <c r="R28" s="62"/>
      <c r="S28" s="62"/>
      <c r="T28" s="62"/>
      <c r="U28" s="62"/>
      <c r="V28" s="62"/>
      <c r="W28" s="61"/>
      <c r="AA28" s="12"/>
    </row>
    <row r="29" spans="1:32" s="64" customFormat="1" ht="19.5" customHeight="1">
      <c r="A29" s="62"/>
      <c r="B29" s="62"/>
      <c r="C29" s="62"/>
      <c r="D29" s="62"/>
      <c r="E29" s="62"/>
      <c r="F29" s="62"/>
      <c r="G29" s="72" t="s">
        <v>33</v>
      </c>
      <c r="H29" s="68"/>
      <c r="I29" s="71">
        <f t="shared" ref="I29:O29" si="14">SUM(I25:I28)</f>
        <v>0</v>
      </c>
      <c r="J29" s="71">
        <f t="shared" si="14"/>
        <v>168</v>
      </c>
      <c r="K29" s="71">
        <f t="shared" si="14"/>
        <v>192</v>
      </c>
      <c r="L29" s="71">
        <f t="shared" si="14"/>
        <v>360</v>
      </c>
      <c r="M29" s="71">
        <f t="shared" si="14"/>
        <v>456</v>
      </c>
      <c r="N29" s="71">
        <f t="shared" si="14"/>
        <v>0</v>
      </c>
      <c r="O29" s="71">
        <f t="shared" si="14"/>
        <v>0</v>
      </c>
      <c r="P29" s="71"/>
      <c r="Q29" s="71">
        <f>SUM(I29:P29)</f>
        <v>1176</v>
      </c>
      <c r="R29" s="62"/>
      <c r="S29" s="63"/>
      <c r="T29" s="62"/>
      <c r="U29" s="62"/>
      <c r="V29" s="62"/>
      <c r="W29" s="61"/>
    </row>
    <row r="30" spans="1:32">
      <c r="V30" s="74"/>
    </row>
    <row r="31" spans="1:32">
      <c r="K31" s="108" t="s">
        <v>0</v>
      </c>
    </row>
    <row r="33" spans="7:21">
      <c r="R33" s="75"/>
      <c r="S33" s="76"/>
      <c r="T33" s="76"/>
      <c r="U33" s="76"/>
    </row>
    <row r="34" spans="7:21">
      <c r="R34" s="76"/>
      <c r="S34" s="76"/>
      <c r="T34" s="76"/>
      <c r="U34" s="76"/>
    </row>
    <row r="35" spans="7:21">
      <c r="R35" s="76"/>
      <c r="S35" s="76"/>
      <c r="T35" s="76"/>
      <c r="U35" s="76"/>
    </row>
    <row r="36" spans="7:21">
      <c r="G36" s="77"/>
      <c r="R36" s="76"/>
      <c r="S36" s="76"/>
      <c r="T36" s="76"/>
      <c r="U36" s="76"/>
    </row>
    <row r="37" spans="7:21">
      <c r="G37" s="78"/>
      <c r="R37" s="76"/>
      <c r="S37" s="76"/>
      <c r="T37" s="76"/>
      <c r="U37" s="76"/>
    </row>
    <row r="38" spans="7:21">
      <c r="G38" s="77"/>
      <c r="H38" s="77"/>
      <c r="S38" s="76"/>
      <c r="T38" s="76"/>
      <c r="U38" s="76"/>
    </row>
  </sheetData>
  <autoFilter ref="A15:DC19">
    <filterColumn colId="0" showButton="0"/>
    <filterColumn colId="1" showButton="0"/>
  </autoFilter>
  <mergeCells count="40">
    <mergeCell ref="Q23:Q24"/>
    <mergeCell ref="K23:K24"/>
    <mergeCell ref="L23:L24"/>
    <mergeCell ref="M23:M24"/>
    <mergeCell ref="N23:N24"/>
    <mergeCell ref="O23:O24"/>
    <mergeCell ref="P23:P24"/>
    <mergeCell ref="A20:C20"/>
    <mergeCell ref="F23:F24"/>
    <mergeCell ref="G23:G24"/>
    <mergeCell ref="H23:H24"/>
    <mergeCell ref="I23:I24"/>
    <mergeCell ref="J23:J24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I13:P13"/>
    <mergeCell ref="Q13:Q15"/>
    <mergeCell ref="R13:R15"/>
    <mergeCell ref="W13:W15"/>
    <mergeCell ref="X13:Z14"/>
    <mergeCell ref="AA13:AA15"/>
    <mergeCell ref="H13:H15"/>
    <mergeCell ref="A1:Z1"/>
    <mergeCell ref="A2:Z2"/>
    <mergeCell ref="A3:Z3"/>
    <mergeCell ref="A4:Z4"/>
    <mergeCell ref="A6:Z6"/>
    <mergeCell ref="C12:D12"/>
    <mergeCell ref="A13:C15"/>
    <mergeCell ref="D13:D15"/>
    <mergeCell ref="E13:E15"/>
    <mergeCell ref="F13:F15"/>
    <mergeCell ref="G13:G15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19" activePane="bottomRight" state="frozen"/>
      <selection pane="topRight" activeCell="H1" sqref="H1"/>
      <selection pane="bottomLeft" activeCell="A13" sqref="A13"/>
      <selection pane="bottomRight" activeCell="V26" sqref="V26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10.285156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203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4500507951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205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207</v>
      </c>
      <c r="E10" s="273"/>
      <c r="F10" s="273"/>
      <c r="G10" s="10" t="s">
        <v>134</v>
      </c>
      <c r="H10" s="112" t="s">
        <v>208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f>R23</f>
        <v>2796</v>
      </c>
      <c r="D12" s="250"/>
      <c r="E12" s="81"/>
      <c r="F12" s="14"/>
      <c r="G12" s="10"/>
      <c r="H12" s="17" t="s">
        <v>206</v>
      </c>
      <c r="I12" s="17"/>
      <c r="J12" s="6"/>
      <c r="K12" s="6"/>
      <c r="L12" s="6"/>
      <c r="M12" s="6"/>
      <c r="N12" s="6"/>
      <c r="O12" s="18" t="str">
        <f>D9</f>
        <v xml:space="preserve">BI STRETCH ALEXANDER BLAZER 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216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0" si="0">+A16+D16-1</f>
        <v>360</v>
      </c>
      <c r="D16" s="27">
        <f t="shared" ref="D16:D20" si="1">+R16/Q16</f>
        <v>360</v>
      </c>
      <c r="E16" s="28" t="s">
        <v>209</v>
      </c>
      <c r="F16" s="83" t="str">
        <f>+$D$7</f>
        <v xml:space="preserve">36TBSDD11F-410-PC </v>
      </c>
      <c r="G16" s="28" t="s">
        <v>204</v>
      </c>
      <c r="H16" s="30">
        <f>+$D$8</f>
        <v>4500507951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0" si="2">+SUM(I16:P16)</f>
        <v>1</v>
      </c>
      <c r="R16" s="28">
        <v>360</v>
      </c>
      <c r="S16" s="113">
        <v>0.7</v>
      </c>
      <c r="T16" s="113">
        <f>S16+0.02</f>
        <v>0.72</v>
      </c>
      <c r="U16" s="105">
        <f>+S16*D16*Q16</f>
        <v>251.99999999999997</v>
      </c>
      <c r="V16" s="35">
        <f>+T16*D16*Q16</f>
        <v>259.2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0" si="3">AD16*D16</f>
        <v>1304.856</v>
      </c>
    </row>
    <row r="17" spans="1:32" s="42" customFormat="1" ht="27.75" customHeight="1">
      <c r="A17" s="27">
        <f>+C16+1</f>
        <v>361</v>
      </c>
      <c r="B17" s="28" t="s">
        <v>32</v>
      </c>
      <c r="C17" s="27">
        <f t="shared" si="0"/>
        <v>744</v>
      </c>
      <c r="D17" s="27">
        <f t="shared" si="1"/>
        <v>384</v>
      </c>
      <c r="E17" s="28" t="s">
        <v>210</v>
      </c>
      <c r="F17" s="83" t="str">
        <f t="shared" ref="F17:F22" si="4">+$D$7</f>
        <v xml:space="preserve">36TBSDD11F-410-PC </v>
      </c>
      <c r="G17" s="28" t="str">
        <f>$G$16</f>
        <v>410 MAST NAVY</v>
      </c>
      <c r="H17" s="30">
        <f t="shared" ref="H17:H22" si="5">+$D$8</f>
        <v>4500507951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384</v>
      </c>
      <c r="S17" s="113">
        <v>0.79999999999999993</v>
      </c>
      <c r="T17" s="113">
        <f t="shared" ref="T17:T22" si="6">S17+0.02</f>
        <v>0.82</v>
      </c>
      <c r="U17" s="105">
        <f t="shared" ref="U17:U20" si="7">+S17*D17*Q17</f>
        <v>307.2</v>
      </c>
      <c r="V17" s="35">
        <f t="shared" ref="V17:V20" si="8">+T17*D17*Q17</f>
        <v>314.88</v>
      </c>
      <c r="W17" s="82">
        <f t="shared" ref="W17:W20" si="9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1460.0448000000001</v>
      </c>
    </row>
    <row r="18" spans="1:32" s="42" customFormat="1" ht="27.75" customHeight="1">
      <c r="A18" s="27">
        <f t="shared" ref="A18:A20" si="10">+C17+1</f>
        <v>745</v>
      </c>
      <c r="B18" s="28" t="s">
        <v>32</v>
      </c>
      <c r="C18" s="27">
        <f t="shared" si="0"/>
        <v>1176</v>
      </c>
      <c r="D18" s="27">
        <f t="shared" si="1"/>
        <v>432</v>
      </c>
      <c r="E18" s="28" t="s">
        <v>211</v>
      </c>
      <c r="F18" s="83" t="str">
        <f t="shared" si="4"/>
        <v xml:space="preserve">36TBSDD11F-410-PC </v>
      </c>
      <c r="G18" s="28" t="str">
        <f t="shared" ref="G18:G22" si="11">$G$16</f>
        <v>410 MAST NAVY</v>
      </c>
      <c r="H18" s="30">
        <f t="shared" si="5"/>
        <v>4500507951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432</v>
      </c>
      <c r="S18" s="113">
        <v>0.89999999999999991</v>
      </c>
      <c r="T18" s="113">
        <f t="shared" si="6"/>
        <v>0.91999999999999993</v>
      </c>
      <c r="U18" s="105">
        <f t="shared" si="7"/>
        <v>388.79999999999995</v>
      </c>
      <c r="V18" s="35">
        <f t="shared" si="8"/>
        <v>397.43999999999994</v>
      </c>
      <c r="W18" s="82">
        <f t="shared" si="9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1642.5504000000001</v>
      </c>
    </row>
    <row r="19" spans="1:32" s="42" customFormat="1" ht="27.75" customHeight="1">
      <c r="A19" s="27">
        <f t="shared" si="10"/>
        <v>1177</v>
      </c>
      <c r="B19" s="28" t="s">
        <v>32</v>
      </c>
      <c r="C19" s="27">
        <f t="shared" si="0"/>
        <v>1608</v>
      </c>
      <c r="D19" s="27">
        <f t="shared" si="1"/>
        <v>432</v>
      </c>
      <c r="E19" s="28" t="s">
        <v>212</v>
      </c>
      <c r="F19" s="83" t="str">
        <f t="shared" si="4"/>
        <v xml:space="preserve">36TBSDD11F-410-PC </v>
      </c>
      <c r="G19" s="28" t="str">
        <f t="shared" si="11"/>
        <v>410 MAST NAVY</v>
      </c>
      <c r="H19" s="30">
        <f t="shared" si="5"/>
        <v>4500507951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432</v>
      </c>
      <c r="S19" s="113">
        <v>0.99999999999999989</v>
      </c>
      <c r="T19" s="113">
        <f t="shared" si="6"/>
        <v>1.0199999999999998</v>
      </c>
      <c r="U19" s="105">
        <f t="shared" si="7"/>
        <v>431.99999999999994</v>
      </c>
      <c r="V19" s="35">
        <f t="shared" si="8"/>
        <v>440.63999999999993</v>
      </c>
      <c r="W19" s="82">
        <f t="shared" si="9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1801.7855999999999</v>
      </c>
    </row>
    <row r="20" spans="1:32" s="42" customFormat="1" ht="27.75" customHeight="1">
      <c r="A20" s="27">
        <f t="shared" si="10"/>
        <v>1609</v>
      </c>
      <c r="B20" s="28" t="s">
        <v>32</v>
      </c>
      <c r="C20" s="27">
        <f t="shared" si="0"/>
        <v>2076</v>
      </c>
      <c r="D20" s="27">
        <f t="shared" si="1"/>
        <v>468</v>
      </c>
      <c r="E20" s="28" t="s">
        <v>213</v>
      </c>
      <c r="F20" s="83" t="str">
        <f t="shared" si="4"/>
        <v xml:space="preserve">36TBSDD11F-410-PC </v>
      </c>
      <c r="G20" s="28" t="str">
        <f t="shared" si="11"/>
        <v>410 MAST NAVY</v>
      </c>
      <c r="H20" s="30">
        <f t="shared" si="5"/>
        <v>4500507951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468</v>
      </c>
      <c r="S20" s="113">
        <v>1.0999999999999999</v>
      </c>
      <c r="T20" s="113">
        <f t="shared" si="6"/>
        <v>1.1199999999999999</v>
      </c>
      <c r="U20" s="105">
        <f t="shared" si="7"/>
        <v>514.79999999999995</v>
      </c>
      <c r="V20" s="35">
        <f t="shared" si="8"/>
        <v>524.16</v>
      </c>
      <c r="W20" s="82">
        <f t="shared" si="9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1951.9343999999999</v>
      </c>
    </row>
    <row r="21" spans="1:32" s="42" customFormat="1" ht="27.75" customHeight="1">
      <c r="A21" s="27">
        <f t="shared" ref="A21:A22" si="12">+C20+1</f>
        <v>2077</v>
      </c>
      <c r="B21" s="28" t="s">
        <v>32</v>
      </c>
      <c r="C21" s="27">
        <f t="shared" ref="C21:C22" si="13">+A21+D21-1</f>
        <v>2496</v>
      </c>
      <c r="D21" s="27">
        <f t="shared" ref="D21:D22" si="14">+R21/Q21</f>
        <v>420</v>
      </c>
      <c r="E21" s="28" t="s">
        <v>214</v>
      </c>
      <c r="F21" s="83" t="str">
        <f t="shared" si="4"/>
        <v xml:space="preserve">36TBSDD11F-410-PC </v>
      </c>
      <c r="G21" s="28" t="str">
        <f t="shared" si="11"/>
        <v>410 MAST NAVY</v>
      </c>
      <c r="H21" s="30">
        <f t="shared" si="5"/>
        <v>4500507951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ref="Q21:Q22" si="15">+SUM(I21:P21)</f>
        <v>1</v>
      </c>
      <c r="R21" s="28">
        <v>420</v>
      </c>
      <c r="S21" s="113">
        <v>1.2</v>
      </c>
      <c r="T21" s="113">
        <f t="shared" si="6"/>
        <v>1.22</v>
      </c>
      <c r="U21" s="105">
        <f t="shared" ref="U21:U22" si="16">+S21*D21*Q21</f>
        <v>504</v>
      </c>
      <c r="V21" s="35">
        <f t="shared" ref="V21:V22" si="17">+T21*D21*Q21</f>
        <v>512.4</v>
      </c>
      <c r="W21" s="82">
        <f t="shared" ref="W21:W22" si="18">+ROUND(D21*X21*Y21*Z21/1000000,3)</f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ref="AE21:AE22" si="19">AD21*D21</f>
        <v>1751.7359999999999</v>
      </c>
    </row>
    <row r="22" spans="1:32" s="42" customFormat="1" ht="27.75" customHeight="1">
      <c r="A22" s="27">
        <f t="shared" si="12"/>
        <v>2497</v>
      </c>
      <c r="B22" s="28" t="s">
        <v>32</v>
      </c>
      <c r="C22" s="27">
        <f t="shared" si="13"/>
        <v>2796</v>
      </c>
      <c r="D22" s="27">
        <f t="shared" si="14"/>
        <v>300</v>
      </c>
      <c r="E22" s="28" t="s">
        <v>215</v>
      </c>
      <c r="F22" s="83" t="str">
        <f t="shared" si="4"/>
        <v xml:space="preserve">36TBSDD11F-410-PC </v>
      </c>
      <c r="G22" s="28" t="str">
        <f t="shared" si="11"/>
        <v>410 MAST NAVY</v>
      </c>
      <c r="H22" s="30">
        <f t="shared" si="5"/>
        <v>4500507951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15"/>
        <v>1</v>
      </c>
      <c r="R22" s="28">
        <v>300</v>
      </c>
      <c r="S22" s="113">
        <v>1.3</v>
      </c>
      <c r="T22" s="113">
        <f t="shared" si="6"/>
        <v>1.32</v>
      </c>
      <c r="U22" s="105">
        <f t="shared" si="16"/>
        <v>390</v>
      </c>
      <c r="V22" s="35">
        <f t="shared" si="17"/>
        <v>396</v>
      </c>
      <c r="W22" s="82">
        <f t="shared" si="1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19"/>
        <v>1251.24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2796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2796</v>
      </c>
      <c r="S23" s="49"/>
      <c r="T23" s="49"/>
      <c r="U23" s="106">
        <f>SUM(U16:U20)</f>
        <v>1894.7999999999997</v>
      </c>
      <c r="V23" s="106">
        <f>SUM(V16:V20)</f>
        <v>1936.3199999999997</v>
      </c>
      <c r="W23" s="51">
        <f>SUM(W16:W20)</f>
        <v>0</v>
      </c>
      <c r="X23" s="52"/>
      <c r="Y23" s="3"/>
      <c r="Z23" s="53"/>
      <c r="AA23" s="8"/>
      <c r="AE23" s="110">
        <f>SUM(AE16:AE20)/86</f>
        <v>94.897339534883727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36TBSDD11F-410-PC </v>
      </c>
      <c r="G28" s="107" t="str">
        <f>+G16</f>
        <v>410 MAST NAVY</v>
      </c>
      <c r="H28" s="68">
        <f>+H16</f>
        <v>4500507951</v>
      </c>
      <c r="I28" s="86">
        <f t="shared" ref="I28:O28" si="20">+I16*$D$16</f>
        <v>360</v>
      </c>
      <c r="J28" s="86">
        <f t="shared" si="20"/>
        <v>0</v>
      </c>
      <c r="K28" s="86">
        <f t="shared" si="20"/>
        <v>0</v>
      </c>
      <c r="L28" s="86">
        <f t="shared" si="20"/>
        <v>0</v>
      </c>
      <c r="M28" s="86">
        <f t="shared" si="20"/>
        <v>0</v>
      </c>
      <c r="N28" s="86">
        <f t="shared" si="20"/>
        <v>0</v>
      </c>
      <c r="O28" s="86">
        <f t="shared" si="20"/>
        <v>0</v>
      </c>
      <c r="P28" s="86">
        <f>+$I$16*K16</f>
        <v>0</v>
      </c>
      <c r="Q28" s="71">
        <f>SUM(I28:O28)</f>
        <v>360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36TBSDD11F-410-PC </v>
      </c>
      <c r="G29" s="107" t="str">
        <f>+G28</f>
        <v>410 MAST NAVY</v>
      </c>
      <c r="H29" s="68">
        <f>+H28</f>
        <v>4500507951</v>
      </c>
      <c r="I29" s="86">
        <f t="shared" ref="I29:O29" si="21">+I17*$D$17</f>
        <v>0</v>
      </c>
      <c r="J29" s="86">
        <f t="shared" si="21"/>
        <v>384</v>
      </c>
      <c r="K29" s="86">
        <f t="shared" si="21"/>
        <v>0</v>
      </c>
      <c r="L29" s="86">
        <f t="shared" si="21"/>
        <v>0</v>
      </c>
      <c r="M29" s="86">
        <f t="shared" si="21"/>
        <v>0</v>
      </c>
      <c r="N29" s="86">
        <f t="shared" si="21"/>
        <v>0</v>
      </c>
      <c r="O29" s="86">
        <f t="shared" si="21"/>
        <v>0</v>
      </c>
      <c r="P29" s="69">
        <v>0</v>
      </c>
      <c r="Q29" s="71">
        <f t="shared" ref="Q29:Q32" si="22">SUM(I29:O29)</f>
        <v>384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36TBSDD11F-410-PC </v>
      </c>
      <c r="G30" s="107" t="str">
        <f>+G16</f>
        <v>410 MAST NAVY</v>
      </c>
      <c r="H30" s="68">
        <f>+H16</f>
        <v>4500507951</v>
      </c>
      <c r="I30" s="86">
        <f t="shared" ref="I30:O30" si="23">+I18*$D$18</f>
        <v>0</v>
      </c>
      <c r="J30" s="86">
        <f t="shared" si="23"/>
        <v>0</v>
      </c>
      <c r="K30" s="86">
        <f t="shared" si="23"/>
        <v>432</v>
      </c>
      <c r="L30" s="86">
        <f t="shared" si="23"/>
        <v>0</v>
      </c>
      <c r="M30" s="86">
        <f t="shared" si="23"/>
        <v>0</v>
      </c>
      <c r="N30" s="86">
        <f t="shared" si="23"/>
        <v>0</v>
      </c>
      <c r="O30" s="86">
        <f t="shared" si="23"/>
        <v>0</v>
      </c>
      <c r="P30" s="69">
        <v>0</v>
      </c>
      <c r="Q30" s="71">
        <f t="shared" si="22"/>
        <v>432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36TBSDD11F-410-PC </v>
      </c>
      <c r="G31" s="107" t="str">
        <f>+G19</f>
        <v>410 MAST NAVY</v>
      </c>
      <c r="H31" s="68">
        <f>+H19</f>
        <v>4500507951</v>
      </c>
      <c r="I31" s="86">
        <f t="shared" ref="I31:O31" si="24">+I19*$D$19</f>
        <v>0</v>
      </c>
      <c r="J31" s="86">
        <f t="shared" si="24"/>
        <v>0</v>
      </c>
      <c r="K31" s="86">
        <f t="shared" si="24"/>
        <v>0</v>
      </c>
      <c r="L31" s="86">
        <f t="shared" si="24"/>
        <v>432</v>
      </c>
      <c r="M31" s="86">
        <f t="shared" si="24"/>
        <v>0</v>
      </c>
      <c r="N31" s="86">
        <f t="shared" si="24"/>
        <v>0</v>
      </c>
      <c r="O31" s="86">
        <f t="shared" si="24"/>
        <v>0</v>
      </c>
      <c r="P31" s="70"/>
      <c r="Q31" s="71">
        <f t="shared" si="22"/>
        <v>432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36TBSDD11F-410-PC </v>
      </c>
      <c r="G32" s="107" t="str">
        <f>+G31</f>
        <v>410 MAST NAVY</v>
      </c>
      <c r="H32" s="68">
        <f>+H18</f>
        <v>4500507951</v>
      </c>
      <c r="I32" s="86">
        <f t="shared" ref="I32:O32" si="25">+I20*$D$20</f>
        <v>0</v>
      </c>
      <c r="J32" s="86">
        <f t="shared" si="25"/>
        <v>0</v>
      </c>
      <c r="K32" s="86">
        <f t="shared" si="25"/>
        <v>0</v>
      </c>
      <c r="L32" s="86">
        <f t="shared" si="25"/>
        <v>0</v>
      </c>
      <c r="M32" s="86">
        <f t="shared" si="25"/>
        <v>468</v>
      </c>
      <c r="N32" s="86">
        <f t="shared" si="25"/>
        <v>0</v>
      </c>
      <c r="O32" s="86">
        <f t="shared" si="25"/>
        <v>0</v>
      </c>
      <c r="P32" s="69">
        <v>0</v>
      </c>
      <c r="Q32" s="71">
        <f t="shared" si="22"/>
        <v>468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36TBSDD11F-410-PC </v>
      </c>
      <c r="G33" s="107" t="str">
        <f>+G21</f>
        <v>410 MAST NAVY</v>
      </c>
      <c r="H33" s="68">
        <f>+H21</f>
        <v>4500507951</v>
      </c>
      <c r="I33" s="86">
        <f t="shared" ref="I33:O33" si="26">+I21*$D$21</f>
        <v>0</v>
      </c>
      <c r="J33" s="86">
        <f t="shared" si="26"/>
        <v>0</v>
      </c>
      <c r="K33" s="86">
        <f t="shared" si="26"/>
        <v>0</v>
      </c>
      <c r="L33" s="86">
        <f t="shared" si="26"/>
        <v>0</v>
      </c>
      <c r="M33" s="86">
        <f t="shared" si="26"/>
        <v>0</v>
      </c>
      <c r="N33" s="86">
        <f t="shared" si="26"/>
        <v>420</v>
      </c>
      <c r="O33" s="86">
        <f t="shared" si="26"/>
        <v>0</v>
      </c>
      <c r="P33" s="70"/>
      <c r="Q33" s="71">
        <f t="shared" ref="Q33:Q34" si="27">SUM(I33:O33)</f>
        <v>420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36TBSDD11F-410-PC </v>
      </c>
      <c r="G34" s="107" t="str">
        <f>+G33</f>
        <v>410 MAST NAVY</v>
      </c>
      <c r="H34" s="68">
        <f>+H20</f>
        <v>4500507951</v>
      </c>
      <c r="I34" s="86">
        <f t="shared" ref="I34:O34" si="28">+I22*$D$22</f>
        <v>0</v>
      </c>
      <c r="J34" s="86">
        <f t="shared" si="28"/>
        <v>0</v>
      </c>
      <c r="K34" s="86">
        <f t="shared" si="28"/>
        <v>0</v>
      </c>
      <c r="L34" s="86">
        <f t="shared" si="28"/>
        <v>0</v>
      </c>
      <c r="M34" s="86">
        <f t="shared" si="28"/>
        <v>0</v>
      </c>
      <c r="N34" s="86">
        <f t="shared" si="28"/>
        <v>0</v>
      </c>
      <c r="O34" s="86">
        <f t="shared" si="28"/>
        <v>300</v>
      </c>
      <c r="P34" s="69">
        <v>0</v>
      </c>
      <c r="Q34" s="71">
        <f t="shared" si="27"/>
        <v>300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360</v>
      </c>
      <c r="J35" s="71">
        <f t="shared" ref="J35:O35" si="29">SUM(J28:J34)</f>
        <v>384</v>
      </c>
      <c r="K35" s="71">
        <f t="shared" si="29"/>
        <v>432</v>
      </c>
      <c r="L35" s="71">
        <f t="shared" si="29"/>
        <v>432</v>
      </c>
      <c r="M35" s="71">
        <f t="shared" si="29"/>
        <v>468</v>
      </c>
      <c r="N35" s="71">
        <f t="shared" si="29"/>
        <v>420</v>
      </c>
      <c r="O35" s="71">
        <f t="shared" si="29"/>
        <v>300</v>
      </c>
      <c r="P35" s="71"/>
      <c r="Q35" s="71">
        <f>SUM(I35:P35)</f>
        <v>2796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H13:H15"/>
    <mergeCell ref="A1:Z1"/>
    <mergeCell ref="A2:Z2"/>
    <mergeCell ref="A3:Z3"/>
    <mergeCell ref="A4:Z4"/>
    <mergeCell ref="A6:Z6"/>
    <mergeCell ref="C12:D12"/>
    <mergeCell ref="A13:C15"/>
    <mergeCell ref="D13:D15"/>
    <mergeCell ref="E13:E15"/>
    <mergeCell ref="F13:F15"/>
    <mergeCell ref="G13:G15"/>
    <mergeCell ref="D10:F10"/>
    <mergeCell ref="J26:J27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I13:P13"/>
    <mergeCell ref="Q13:Q15"/>
    <mergeCell ref="R13:R15"/>
    <mergeCell ref="W13:W15"/>
    <mergeCell ref="X13:Z14"/>
    <mergeCell ref="AA13:AA15"/>
    <mergeCell ref="A23:C23"/>
    <mergeCell ref="F26:F27"/>
    <mergeCell ref="G26:G27"/>
    <mergeCell ref="H26:H27"/>
    <mergeCell ref="I26:I27"/>
    <mergeCell ref="Q26:Q27"/>
    <mergeCell ref="K26:K27"/>
    <mergeCell ref="L26:L27"/>
    <mergeCell ref="M26:M27"/>
    <mergeCell ref="N26:N27"/>
    <mergeCell ref="O26:O27"/>
    <mergeCell ref="P26:P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7"/>
  <sheetViews>
    <sheetView topLeftCell="A13" zoomScaleNormal="100" workbookViewId="0">
      <selection activeCell="C20" sqref="C20"/>
    </sheetView>
  </sheetViews>
  <sheetFormatPr defaultRowHeight="15"/>
  <cols>
    <col min="1" max="1" width="15.7109375" customWidth="1"/>
    <col min="2" max="2" width="25.140625" customWidth="1"/>
    <col min="3" max="3" width="11.85546875" customWidth="1"/>
    <col min="4" max="4" width="12.140625" customWidth="1"/>
    <col min="7" max="7" width="10.140625" customWidth="1"/>
    <col min="11" max="11" width="22.140625" customWidth="1"/>
  </cols>
  <sheetData>
    <row r="2" spans="1:11" ht="23.25" customHeight="1">
      <c r="A2" s="131" t="s">
        <v>236</v>
      </c>
      <c r="B2" s="131" t="s">
        <v>235</v>
      </c>
      <c r="C2" s="131" t="s">
        <v>234</v>
      </c>
      <c r="D2" s="131" t="s">
        <v>237</v>
      </c>
      <c r="E2" s="131" t="s">
        <v>238</v>
      </c>
      <c r="F2" s="130"/>
      <c r="G2" s="130"/>
      <c r="H2" s="130"/>
      <c r="I2" s="129"/>
      <c r="J2" s="129"/>
      <c r="K2" s="129"/>
    </row>
    <row r="3" spans="1:11">
      <c r="A3" s="275" t="s">
        <v>296</v>
      </c>
      <c r="B3" s="132" t="s">
        <v>297</v>
      </c>
      <c r="C3" s="132">
        <v>116</v>
      </c>
      <c r="D3" s="132">
        <v>11</v>
      </c>
      <c r="E3" s="135">
        <v>1.782</v>
      </c>
      <c r="F3" s="129"/>
      <c r="G3" s="129" t="s">
        <v>266</v>
      </c>
      <c r="H3" s="129"/>
      <c r="I3" s="129"/>
      <c r="J3" s="129"/>
      <c r="K3" s="129"/>
    </row>
    <row r="4" spans="1:11">
      <c r="A4" s="275"/>
      <c r="B4" s="132" t="s">
        <v>239</v>
      </c>
      <c r="C4" s="132">
        <v>522</v>
      </c>
      <c r="D4" s="132">
        <v>29</v>
      </c>
      <c r="E4" s="135">
        <v>4.6980000000000004</v>
      </c>
      <c r="F4" s="129"/>
      <c r="G4" s="129" t="s">
        <v>266</v>
      </c>
      <c r="H4" s="129"/>
      <c r="I4" s="129"/>
      <c r="J4" s="129"/>
      <c r="K4" s="129"/>
    </row>
    <row r="5" spans="1:11" ht="24.75" customHeight="1">
      <c r="A5" s="276" t="s">
        <v>35</v>
      </c>
      <c r="B5" s="276"/>
      <c r="C5" s="133">
        <f>SUM(C3:C4)</f>
        <v>638</v>
      </c>
      <c r="D5" s="133">
        <f t="shared" ref="D5:E5" si="0">SUM(D3:D4)</f>
        <v>40</v>
      </c>
      <c r="E5" s="133">
        <f t="shared" si="0"/>
        <v>6.48</v>
      </c>
      <c r="F5" s="129"/>
      <c r="G5" s="129"/>
      <c r="H5" s="129"/>
      <c r="I5" s="129"/>
      <c r="J5" s="129"/>
      <c r="K5" s="129"/>
    </row>
    <row r="6" spans="1:11" ht="23.25" customHeight="1">
      <c r="A6" s="131" t="s">
        <v>236</v>
      </c>
      <c r="B6" s="131" t="s">
        <v>235</v>
      </c>
      <c r="C6" s="131" t="s">
        <v>234</v>
      </c>
      <c r="D6" s="131" t="s">
        <v>237</v>
      </c>
      <c r="E6" s="131" t="s">
        <v>238</v>
      </c>
      <c r="F6" s="130"/>
      <c r="G6" s="130"/>
      <c r="H6" s="130"/>
      <c r="I6" s="129"/>
      <c r="J6" s="129"/>
      <c r="K6" s="129"/>
    </row>
    <row r="7" spans="1:11">
      <c r="A7" s="139" t="s">
        <v>298</v>
      </c>
      <c r="B7" s="132" t="s">
        <v>239</v>
      </c>
      <c r="C7" s="132">
        <f>D7*18</f>
        <v>738</v>
      </c>
      <c r="D7" s="132">
        <v>41</v>
      </c>
      <c r="E7" s="135">
        <v>6.6420000000000003</v>
      </c>
      <c r="F7" s="129"/>
      <c r="G7" s="129" t="s">
        <v>266</v>
      </c>
      <c r="H7" s="129"/>
      <c r="I7" s="129"/>
      <c r="J7" s="129"/>
      <c r="K7" s="129"/>
    </row>
    <row r="8" spans="1:11" ht="24.75" customHeight="1">
      <c r="A8" s="276" t="s">
        <v>35</v>
      </c>
      <c r="B8" s="276"/>
      <c r="C8" s="133">
        <f>SUM(C7:C7)</f>
        <v>738</v>
      </c>
      <c r="D8" s="133">
        <f>SUM(D7:D7)</f>
        <v>41</v>
      </c>
      <c r="E8" s="136">
        <f>SUM(E7:E7)</f>
        <v>6.6420000000000003</v>
      </c>
      <c r="F8" s="129"/>
      <c r="G8" s="129"/>
      <c r="H8" s="129"/>
      <c r="I8" s="129"/>
      <c r="J8" s="129"/>
      <c r="K8" s="129"/>
    </row>
    <row r="9" spans="1:11" ht="23.25" customHeight="1">
      <c r="A9" s="131" t="s">
        <v>236</v>
      </c>
      <c r="B9" s="131" t="s">
        <v>235</v>
      </c>
      <c r="C9" s="131" t="s">
        <v>234</v>
      </c>
      <c r="D9" s="131" t="s">
        <v>237</v>
      </c>
      <c r="E9" s="131" t="s">
        <v>238</v>
      </c>
      <c r="F9" s="130"/>
      <c r="G9" s="130"/>
      <c r="H9" s="130"/>
      <c r="I9" s="129"/>
      <c r="J9" s="129"/>
      <c r="K9" s="129"/>
    </row>
    <row r="10" spans="1:11">
      <c r="A10" s="139" t="s">
        <v>299</v>
      </c>
      <c r="B10" s="132" t="s">
        <v>239</v>
      </c>
      <c r="C10" s="132">
        <f>D10*18</f>
        <v>900</v>
      </c>
      <c r="D10" s="132">
        <v>50</v>
      </c>
      <c r="E10" s="135">
        <v>8.1</v>
      </c>
      <c r="F10" s="129"/>
      <c r="G10" s="129" t="s">
        <v>266</v>
      </c>
      <c r="H10" s="129"/>
      <c r="I10" s="129"/>
      <c r="J10" s="129"/>
      <c r="K10" s="129"/>
    </row>
    <row r="11" spans="1:11" ht="24.75" customHeight="1">
      <c r="A11" s="276" t="s">
        <v>35</v>
      </c>
      <c r="B11" s="276"/>
      <c r="C11" s="133">
        <f>SUM(C10:C10)</f>
        <v>900</v>
      </c>
      <c r="D11" s="133">
        <f>SUM(D10:D10)</f>
        <v>50</v>
      </c>
      <c r="E11" s="136">
        <f>SUM(E10:E10)</f>
        <v>8.1</v>
      </c>
      <c r="F11" s="129"/>
      <c r="G11" s="129"/>
      <c r="H11" s="129"/>
      <c r="I11" s="129"/>
      <c r="J11" s="129"/>
      <c r="K11" s="129"/>
    </row>
    <row r="12" spans="1:11" ht="23.25" customHeight="1">
      <c r="A12" s="131" t="s">
        <v>236</v>
      </c>
      <c r="B12" s="131" t="s">
        <v>235</v>
      </c>
      <c r="C12" s="131" t="s">
        <v>234</v>
      </c>
      <c r="D12" s="131" t="s">
        <v>237</v>
      </c>
      <c r="E12" s="131" t="s">
        <v>238</v>
      </c>
      <c r="F12" s="130"/>
      <c r="G12" s="130"/>
      <c r="H12" s="130"/>
      <c r="I12" s="129"/>
      <c r="J12" s="129"/>
      <c r="K12" s="129"/>
    </row>
    <row r="13" spans="1:11">
      <c r="A13" s="139" t="s">
        <v>301</v>
      </c>
      <c r="B13" s="132" t="s">
        <v>239</v>
      </c>
      <c r="C13" s="132">
        <f>D13*18</f>
        <v>936</v>
      </c>
      <c r="D13" s="132">
        <v>52</v>
      </c>
      <c r="E13" s="135">
        <v>8.4239999999999995</v>
      </c>
      <c r="F13" s="129"/>
      <c r="G13" s="129" t="s">
        <v>266</v>
      </c>
      <c r="H13" s="129"/>
      <c r="I13" s="129"/>
      <c r="J13" s="129"/>
      <c r="K13" s="129"/>
    </row>
    <row r="14" spans="1:11" ht="24.75" customHeight="1">
      <c r="A14" s="276" t="s">
        <v>35</v>
      </c>
      <c r="B14" s="276"/>
      <c r="C14" s="133">
        <f>SUM(C13:C13)</f>
        <v>936</v>
      </c>
      <c r="D14" s="133">
        <f>SUM(D13:D13)</f>
        <v>52</v>
      </c>
      <c r="E14" s="136">
        <f>SUM(E13:E13)</f>
        <v>8.4239999999999995</v>
      </c>
      <c r="F14" s="129"/>
      <c r="G14" s="129"/>
      <c r="H14" s="129"/>
      <c r="I14" s="129"/>
      <c r="J14" s="129"/>
      <c r="K14" s="129"/>
    </row>
    <row r="15" spans="1:11">
      <c r="A15" s="129"/>
      <c r="B15" s="129"/>
      <c r="C15" s="129"/>
      <c r="D15" s="129"/>
      <c r="E15" s="129"/>
      <c r="F15" s="129"/>
      <c r="G15" s="129"/>
      <c r="H15" s="129"/>
      <c r="I15" s="138"/>
      <c r="J15" s="129"/>
      <c r="K15" s="129"/>
    </row>
    <row r="16" spans="1:1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>
      <c r="A17" s="274" t="s">
        <v>246</v>
      </c>
      <c r="B17" s="274"/>
      <c r="C17" s="103" t="s">
        <v>234</v>
      </c>
      <c r="D17" s="103" t="s">
        <v>237</v>
      </c>
      <c r="E17" s="103" t="s">
        <v>238</v>
      </c>
      <c r="F17" s="129"/>
      <c r="G17" s="129"/>
      <c r="H17" s="129"/>
      <c r="I17" s="129"/>
      <c r="J17" s="129"/>
      <c r="K17" s="129"/>
    </row>
    <row r="18" spans="1:11" ht="29.25" customHeight="1">
      <c r="A18" s="274"/>
      <c r="B18" s="274"/>
      <c r="C18" s="137">
        <f>+C3+C4+C8+C11+C14</f>
        <v>3212</v>
      </c>
      <c r="D18" s="137">
        <f t="shared" ref="D18:E18" si="1">+D3+D4+D8+D11+D14</f>
        <v>183</v>
      </c>
      <c r="E18" s="137">
        <f t="shared" si="1"/>
        <v>29.646000000000001</v>
      </c>
      <c r="F18" s="129"/>
      <c r="G18" s="129"/>
      <c r="H18" s="129"/>
      <c r="I18" s="129"/>
      <c r="J18" s="129"/>
      <c r="K18" s="129"/>
    </row>
    <row r="19" spans="1:11">
      <c r="A19" s="129"/>
      <c r="B19" s="129" t="s">
        <v>275</v>
      </c>
      <c r="C19" s="138">
        <f>4603-C18</f>
        <v>1391</v>
      </c>
      <c r="D19" s="140"/>
      <c r="E19" s="138">
        <v>11</v>
      </c>
      <c r="F19" s="129"/>
      <c r="G19" s="129"/>
      <c r="H19" s="129"/>
      <c r="I19" s="129"/>
      <c r="J19" s="138"/>
      <c r="K19" s="129"/>
    </row>
    <row r="20" spans="1:11">
      <c r="A20" s="129"/>
      <c r="B20" s="129" t="s">
        <v>300</v>
      </c>
      <c r="C20" s="129">
        <f>3310-C4-C7-C10-C14</f>
        <v>214</v>
      </c>
      <c r="D20" s="129"/>
      <c r="E20" s="129"/>
      <c r="F20" s="129"/>
      <c r="G20" s="129"/>
      <c r="H20" s="129"/>
      <c r="I20" s="129"/>
      <c r="J20" s="129"/>
      <c r="K20" s="129"/>
    </row>
    <row r="21" spans="1:11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>
      <c r="A22" s="129"/>
      <c r="B22" s="129"/>
      <c r="C22" s="138">
        <f>4603-C18</f>
        <v>1391</v>
      </c>
      <c r="D22" s="129"/>
      <c r="E22" s="129"/>
      <c r="F22" s="138">
        <f>118+E18</f>
        <v>147.64600000000002</v>
      </c>
      <c r="G22" s="129">
        <f>77*2</f>
        <v>154</v>
      </c>
      <c r="H22" s="129"/>
      <c r="I22" s="129"/>
      <c r="J22" s="129"/>
      <c r="K22" s="129"/>
    </row>
    <row r="23" spans="1:11">
      <c r="A23" s="129"/>
      <c r="B23" s="129"/>
      <c r="C23" s="129"/>
      <c r="D23" s="129"/>
      <c r="E23" s="129"/>
      <c r="F23" s="129"/>
      <c r="G23" s="138">
        <f>G22-F22</f>
        <v>6.353999999999985</v>
      </c>
      <c r="H23" s="129"/>
      <c r="I23" s="129"/>
      <c r="J23" s="129"/>
      <c r="K23" s="129"/>
    </row>
    <row r="24" spans="1:1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6" spans="1:11">
      <c r="E26">
        <v>118</v>
      </c>
    </row>
    <row r="27" spans="1:11">
      <c r="E27">
        <v>30</v>
      </c>
    </row>
  </sheetData>
  <mergeCells count="6">
    <mergeCell ref="A17:B18"/>
    <mergeCell ref="A3:A4"/>
    <mergeCell ref="A5:B5"/>
    <mergeCell ref="A8:B8"/>
    <mergeCell ref="A11:B11"/>
    <mergeCell ref="A14:B14"/>
  </mergeCells>
  <pageMargins left="0.7" right="0.7" top="0.75" bottom="0.75" header="0.3" footer="0.3"/>
  <pageSetup paperSize="9" scale="11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71"/>
  <sheetViews>
    <sheetView topLeftCell="B58" zoomScaleNormal="100" workbookViewId="0">
      <selection activeCell="F66" sqref="F66"/>
    </sheetView>
  </sheetViews>
  <sheetFormatPr defaultRowHeight="15"/>
  <cols>
    <col min="1" max="5" width="26.140625" customWidth="1"/>
    <col min="7" max="7" width="10.140625" customWidth="1"/>
    <col min="11" max="11" width="22.140625" customWidth="1"/>
  </cols>
  <sheetData>
    <row r="2" spans="1:11" ht="23.25" customHeight="1">
      <c r="A2" s="131" t="s">
        <v>236</v>
      </c>
      <c r="B2" s="131" t="s">
        <v>235</v>
      </c>
      <c r="C2" s="131" t="s">
        <v>234</v>
      </c>
      <c r="D2" s="131" t="s">
        <v>237</v>
      </c>
      <c r="E2" s="131" t="s">
        <v>238</v>
      </c>
      <c r="F2" s="130"/>
      <c r="G2" s="130"/>
      <c r="H2" s="130"/>
      <c r="I2" s="129"/>
      <c r="J2" s="129"/>
      <c r="K2" s="129"/>
    </row>
    <row r="3" spans="1:11">
      <c r="A3" s="275" t="s">
        <v>232</v>
      </c>
      <c r="B3" s="132" t="s">
        <v>233</v>
      </c>
      <c r="C3" s="132">
        <v>2691</v>
      </c>
      <c r="D3" s="132">
        <v>29</v>
      </c>
      <c r="E3" s="132">
        <v>4.3</v>
      </c>
      <c r="F3" s="129"/>
      <c r="G3" s="129"/>
      <c r="H3" s="129"/>
      <c r="I3" s="129"/>
      <c r="J3" s="129"/>
      <c r="K3" s="129"/>
    </row>
    <row r="4" spans="1:11">
      <c r="A4" s="275"/>
      <c r="B4" s="132" t="s">
        <v>239</v>
      </c>
      <c r="C4" s="132">
        <v>832</v>
      </c>
      <c r="D4" s="132">
        <v>52</v>
      </c>
      <c r="E4" s="132">
        <v>7.8</v>
      </c>
      <c r="F4" s="129"/>
      <c r="G4" s="129"/>
      <c r="H4" s="129"/>
      <c r="I4" s="129"/>
      <c r="J4" s="129"/>
      <c r="K4" s="129"/>
    </row>
    <row r="5" spans="1:11" ht="24.75" customHeight="1">
      <c r="A5" s="276" t="s">
        <v>35</v>
      </c>
      <c r="B5" s="276"/>
      <c r="C5" s="133">
        <f>SUM(C3:C4)</f>
        <v>3523</v>
      </c>
      <c r="D5" s="133">
        <f t="shared" ref="D5:E5" si="0">SUM(D3:D4)</f>
        <v>81</v>
      </c>
      <c r="E5" s="133">
        <f t="shared" si="0"/>
        <v>12.1</v>
      </c>
      <c r="F5" s="129"/>
      <c r="G5" s="129"/>
      <c r="H5" s="129"/>
      <c r="I5" s="129"/>
      <c r="J5" s="129"/>
      <c r="K5" s="129"/>
    </row>
    <row r="6" spans="1:11" ht="21.75" customHeight="1">
      <c r="A6" s="131" t="s">
        <v>236</v>
      </c>
      <c r="B6" s="131" t="s">
        <v>235</v>
      </c>
      <c r="C6" s="131" t="s">
        <v>234</v>
      </c>
      <c r="D6" s="131" t="s">
        <v>237</v>
      </c>
      <c r="E6" s="131" t="s">
        <v>238</v>
      </c>
      <c r="F6" s="130"/>
      <c r="G6" s="130"/>
      <c r="H6" s="130"/>
      <c r="I6" s="129"/>
      <c r="J6" s="129"/>
      <c r="K6" s="129"/>
    </row>
    <row r="7" spans="1:11">
      <c r="A7" s="275" t="s">
        <v>240</v>
      </c>
      <c r="B7" s="132" t="s">
        <v>239</v>
      </c>
      <c r="C7" s="132">
        <f>44+1452</f>
        <v>1496</v>
      </c>
      <c r="D7" s="132">
        <v>68</v>
      </c>
      <c r="E7" s="132">
        <v>11.02</v>
      </c>
      <c r="F7" s="129"/>
      <c r="G7" s="129"/>
      <c r="H7" s="129"/>
      <c r="I7" s="129"/>
      <c r="J7" s="129"/>
      <c r="K7" s="129"/>
    </row>
    <row r="8" spans="1:11">
      <c r="A8" s="275"/>
      <c r="B8" s="132" t="s">
        <v>242</v>
      </c>
      <c r="C8" s="132">
        <v>18</v>
      </c>
      <c r="D8" s="277">
        <v>12</v>
      </c>
      <c r="E8" s="277">
        <v>1.5</v>
      </c>
      <c r="F8" s="129"/>
      <c r="G8" s="129"/>
      <c r="H8" s="129"/>
      <c r="I8" s="129"/>
      <c r="J8" s="129"/>
      <c r="K8" s="129"/>
    </row>
    <row r="9" spans="1:11">
      <c r="A9" s="275"/>
      <c r="B9" s="132" t="s">
        <v>243</v>
      </c>
      <c r="C9" s="132">
        <v>548</v>
      </c>
      <c r="D9" s="277"/>
      <c r="E9" s="277"/>
      <c r="F9" s="129"/>
      <c r="G9" s="129"/>
      <c r="H9" s="129"/>
      <c r="I9" s="129"/>
      <c r="J9" s="129"/>
      <c r="K9" s="129"/>
    </row>
    <row r="10" spans="1:11">
      <c r="A10" s="275"/>
      <c r="B10" s="132" t="s">
        <v>244</v>
      </c>
      <c r="C10" s="132">
        <v>87</v>
      </c>
      <c r="D10" s="277"/>
      <c r="E10" s="277"/>
      <c r="F10" s="129"/>
      <c r="G10" s="129"/>
      <c r="H10" s="129"/>
      <c r="I10" s="129"/>
      <c r="J10" s="129"/>
      <c r="K10" s="129"/>
    </row>
    <row r="11" spans="1:11">
      <c r="A11" s="275"/>
      <c r="B11" s="132" t="s">
        <v>244</v>
      </c>
      <c r="C11" s="132">
        <v>134</v>
      </c>
      <c r="D11" s="277"/>
      <c r="E11" s="277"/>
      <c r="F11" s="129"/>
      <c r="G11" s="129"/>
      <c r="H11" s="129"/>
      <c r="I11" s="129"/>
      <c r="J11" s="129"/>
      <c r="K11" s="129"/>
    </row>
    <row r="12" spans="1:11" ht="26.25" customHeight="1">
      <c r="A12" s="276" t="s">
        <v>35</v>
      </c>
      <c r="B12" s="276"/>
      <c r="C12" s="133">
        <f>SUM(C7:C11)</f>
        <v>2283</v>
      </c>
      <c r="D12" s="133">
        <f t="shared" ref="D12:E12" si="1">SUM(D7:D11)</f>
        <v>80</v>
      </c>
      <c r="E12" s="133">
        <f t="shared" si="1"/>
        <v>12.52</v>
      </c>
      <c r="F12" s="129"/>
      <c r="G12" s="129"/>
      <c r="H12" s="129"/>
      <c r="I12" s="129"/>
      <c r="J12" s="129"/>
      <c r="K12" s="129"/>
    </row>
    <row r="13" spans="1:11" ht="21.75" customHeight="1">
      <c r="A13" s="131" t="s">
        <v>236</v>
      </c>
      <c r="B13" s="131" t="s">
        <v>235</v>
      </c>
      <c r="C13" s="131" t="s">
        <v>234</v>
      </c>
      <c r="D13" s="131" t="s">
        <v>237</v>
      </c>
      <c r="E13" s="131" t="s">
        <v>238</v>
      </c>
      <c r="F13" s="130"/>
      <c r="G13" s="130"/>
      <c r="H13" s="130"/>
      <c r="I13" s="129"/>
      <c r="J13" s="129"/>
      <c r="K13" s="129"/>
    </row>
    <row r="14" spans="1:11">
      <c r="A14" s="134" t="s">
        <v>245</v>
      </c>
      <c r="B14" s="132" t="s">
        <v>239</v>
      </c>
      <c r="C14" s="132">
        <v>1368</v>
      </c>
      <c r="D14" s="141">
        <v>76</v>
      </c>
      <c r="E14" s="132">
        <v>12.31</v>
      </c>
      <c r="F14" s="129"/>
      <c r="G14" s="129"/>
      <c r="H14" s="129"/>
      <c r="I14" s="129"/>
      <c r="J14" s="129"/>
      <c r="K14" s="129"/>
    </row>
    <row r="15" spans="1:11" ht="29.25" customHeight="1">
      <c r="A15" s="276" t="s">
        <v>35</v>
      </c>
      <c r="B15" s="276"/>
      <c r="C15" s="133">
        <f>C14</f>
        <v>1368</v>
      </c>
      <c r="D15" s="133">
        <f t="shared" ref="D15:E15" si="2">D14</f>
        <v>76</v>
      </c>
      <c r="E15" s="133">
        <f t="shared" si="2"/>
        <v>12.31</v>
      </c>
      <c r="F15" s="129"/>
      <c r="G15" s="129"/>
      <c r="H15" s="129"/>
      <c r="I15" s="129"/>
      <c r="J15" s="129"/>
      <c r="K15" s="129"/>
    </row>
    <row r="16" spans="1:11" ht="21.75" customHeight="1">
      <c r="A16" s="131" t="s">
        <v>236</v>
      </c>
      <c r="B16" s="131" t="s">
        <v>235</v>
      </c>
      <c r="C16" s="131" t="s">
        <v>234</v>
      </c>
      <c r="D16" s="131" t="s">
        <v>237</v>
      </c>
      <c r="E16" s="131" t="s">
        <v>238</v>
      </c>
      <c r="F16" s="130"/>
      <c r="G16" s="130"/>
      <c r="H16" s="130"/>
      <c r="I16" s="129"/>
      <c r="J16" s="129"/>
      <c r="K16" s="129"/>
    </row>
    <row r="17" spans="1:12">
      <c r="A17" s="278" t="s">
        <v>247</v>
      </c>
      <c r="B17" s="132" t="s">
        <v>248</v>
      </c>
      <c r="C17" s="132">
        <v>137</v>
      </c>
      <c r="D17" s="132">
        <v>3</v>
      </c>
      <c r="E17" s="135">
        <v>0.48599999999999999</v>
      </c>
      <c r="F17" s="129"/>
      <c r="G17" s="129"/>
      <c r="H17" s="129"/>
      <c r="I17" s="129"/>
      <c r="J17" s="129"/>
      <c r="K17" s="129"/>
    </row>
    <row r="18" spans="1:12">
      <c r="A18" s="279"/>
      <c r="B18" s="132" t="s">
        <v>250</v>
      </c>
      <c r="C18" s="132">
        <v>133</v>
      </c>
      <c r="D18" s="132">
        <v>1</v>
      </c>
      <c r="E18" s="135">
        <v>0.16200000000000001</v>
      </c>
      <c r="F18" s="129"/>
      <c r="G18" s="129"/>
      <c r="H18" s="129"/>
      <c r="I18" s="129"/>
      <c r="J18" s="129"/>
      <c r="K18" s="129"/>
    </row>
    <row r="19" spans="1:12">
      <c r="A19" s="279"/>
      <c r="B19" s="132" t="s">
        <v>251</v>
      </c>
      <c r="C19" s="132">
        <v>400</v>
      </c>
      <c r="D19" s="132">
        <v>3</v>
      </c>
      <c r="E19" s="135">
        <v>0.48599999999999999</v>
      </c>
      <c r="F19" s="129"/>
      <c r="G19" s="129"/>
      <c r="H19" s="129"/>
      <c r="I19" s="129"/>
      <c r="J19" s="129"/>
      <c r="K19" s="129"/>
    </row>
    <row r="20" spans="1:12">
      <c r="A20" s="279"/>
      <c r="B20" s="132" t="s">
        <v>252</v>
      </c>
      <c r="C20" s="132">
        <v>146</v>
      </c>
      <c r="D20" s="132">
        <v>9</v>
      </c>
      <c r="E20" s="135">
        <v>1.458</v>
      </c>
      <c r="F20" s="129"/>
      <c r="G20" s="129"/>
      <c r="H20" s="129"/>
      <c r="I20" s="129"/>
      <c r="J20" s="129"/>
      <c r="K20" s="129"/>
    </row>
    <row r="21" spans="1:12">
      <c r="A21" s="279"/>
      <c r="B21" s="132" t="s">
        <v>253</v>
      </c>
      <c r="C21" s="132">
        <v>181</v>
      </c>
      <c r="D21" s="281">
        <v>14</v>
      </c>
      <c r="E21" s="281">
        <v>1.18</v>
      </c>
      <c r="F21" s="129"/>
      <c r="G21" s="129"/>
      <c r="H21" s="129"/>
      <c r="I21" s="129"/>
      <c r="J21" s="129"/>
      <c r="K21" s="129"/>
    </row>
    <row r="22" spans="1:12">
      <c r="A22" s="279"/>
      <c r="B22" s="132" t="s">
        <v>254</v>
      </c>
      <c r="C22" s="132">
        <v>425</v>
      </c>
      <c r="D22" s="282"/>
      <c r="E22" s="282"/>
      <c r="F22" s="129"/>
      <c r="G22" s="129"/>
      <c r="H22" s="129"/>
      <c r="I22" s="129"/>
      <c r="J22" s="129"/>
      <c r="K22" s="129"/>
    </row>
    <row r="23" spans="1:12">
      <c r="A23" s="279"/>
      <c r="B23" s="132" t="s">
        <v>255</v>
      </c>
      <c r="C23" s="132">
        <v>115</v>
      </c>
      <c r="D23" s="132">
        <v>3</v>
      </c>
      <c r="E23" s="135">
        <v>0.48599999999999999</v>
      </c>
      <c r="F23" s="129"/>
      <c r="G23" s="129"/>
      <c r="H23" s="129"/>
      <c r="I23" s="129"/>
      <c r="J23" s="129"/>
      <c r="K23" s="129"/>
    </row>
    <row r="24" spans="1:12">
      <c r="A24" s="279"/>
      <c r="B24" s="132" t="s">
        <v>256</v>
      </c>
      <c r="C24" s="132">
        <v>96</v>
      </c>
      <c r="D24" s="132">
        <v>8</v>
      </c>
      <c r="E24" s="135">
        <v>1.296</v>
      </c>
      <c r="F24" s="129"/>
      <c r="G24" s="129"/>
      <c r="H24" s="129"/>
      <c r="I24" s="129"/>
      <c r="J24" s="129"/>
      <c r="K24" s="129"/>
    </row>
    <row r="25" spans="1:12">
      <c r="A25" s="279"/>
      <c r="B25" s="132" t="s">
        <v>249</v>
      </c>
      <c r="C25" s="132">
        <v>8</v>
      </c>
      <c r="D25" s="281">
        <v>1</v>
      </c>
      <c r="E25" s="283">
        <v>0.16200000000000001</v>
      </c>
      <c r="F25" s="129"/>
      <c r="G25" s="129"/>
      <c r="H25" s="129"/>
      <c r="I25" s="129"/>
      <c r="J25" s="129"/>
      <c r="K25" s="129"/>
    </row>
    <row r="26" spans="1:12">
      <c r="A26" s="279"/>
      <c r="B26" s="132" t="s">
        <v>257</v>
      </c>
      <c r="C26" s="132">
        <v>116</v>
      </c>
      <c r="D26" s="282"/>
      <c r="E26" s="284"/>
      <c r="F26" s="129"/>
      <c r="G26" s="129"/>
      <c r="H26" s="129"/>
      <c r="I26" s="129"/>
      <c r="J26" s="129"/>
      <c r="K26" s="129"/>
    </row>
    <row r="27" spans="1:12">
      <c r="A27" s="279"/>
      <c r="B27" s="132" t="s">
        <v>258</v>
      </c>
      <c r="C27" s="132">
        <v>113</v>
      </c>
      <c r="D27" s="132">
        <v>2</v>
      </c>
      <c r="E27" s="135">
        <v>0.32400000000000001</v>
      </c>
      <c r="F27" s="129"/>
      <c r="G27" s="129"/>
      <c r="H27" s="129"/>
      <c r="I27" s="129"/>
      <c r="J27" s="129"/>
      <c r="K27" s="129"/>
    </row>
    <row r="28" spans="1:12">
      <c r="A28" s="280"/>
      <c r="B28" s="132" t="s">
        <v>259</v>
      </c>
      <c r="C28" s="132">
        <v>35</v>
      </c>
      <c r="D28" s="132">
        <v>1</v>
      </c>
      <c r="E28" s="135">
        <v>0.16200000000000001</v>
      </c>
      <c r="F28" s="129"/>
      <c r="G28" s="129"/>
      <c r="H28" s="129"/>
      <c r="I28" s="129"/>
      <c r="J28" s="129"/>
      <c r="K28" s="129"/>
    </row>
    <row r="29" spans="1:12" ht="29.25" customHeight="1">
      <c r="A29" s="276" t="s">
        <v>35</v>
      </c>
      <c r="B29" s="276"/>
      <c r="C29" s="133">
        <f>SUM(C17:C28)</f>
        <v>1905</v>
      </c>
      <c r="D29" s="133">
        <f>SUM(D17:D28)</f>
        <v>45</v>
      </c>
      <c r="E29" s="136">
        <f>SUM(E17:E28)</f>
        <v>6.2019999999999991</v>
      </c>
      <c r="F29" s="129"/>
      <c r="G29" s="129"/>
      <c r="H29" s="129"/>
      <c r="I29" s="129"/>
      <c r="J29" s="129"/>
      <c r="K29" s="129"/>
    </row>
    <row r="30" spans="1:12" ht="21.75" customHeight="1">
      <c r="A30" s="131" t="s">
        <v>236</v>
      </c>
      <c r="B30" s="131" t="s">
        <v>235</v>
      </c>
      <c r="C30" s="131" t="s">
        <v>234</v>
      </c>
      <c r="D30" s="131" t="s">
        <v>237</v>
      </c>
      <c r="E30" s="131" t="s">
        <v>238</v>
      </c>
      <c r="F30" s="130"/>
      <c r="G30" s="130"/>
      <c r="H30" s="130"/>
      <c r="I30" s="129"/>
      <c r="J30" s="129"/>
      <c r="K30" s="129"/>
    </row>
    <row r="31" spans="1:12">
      <c r="A31" s="275" t="s">
        <v>260</v>
      </c>
      <c r="B31" s="132" t="s">
        <v>261</v>
      </c>
      <c r="C31" s="132">
        <v>489</v>
      </c>
      <c r="D31" s="132">
        <v>4</v>
      </c>
      <c r="E31" s="135">
        <v>0.64800000000000002</v>
      </c>
      <c r="F31" s="129"/>
      <c r="G31" s="129" t="s">
        <v>266</v>
      </c>
      <c r="H31" s="129"/>
      <c r="I31" s="129"/>
      <c r="J31" s="129"/>
      <c r="K31" s="129" t="s">
        <v>279</v>
      </c>
      <c r="L31">
        <v>29</v>
      </c>
    </row>
    <row r="32" spans="1:12">
      <c r="A32" s="275"/>
      <c r="B32" s="132" t="s">
        <v>262</v>
      </c>
      <c r="C32" s="132">
        <v>176</v>
      </c>
      <c r="D32" s="132">
        <v>9</v>
      </c>
      <c r="E32" s="135">
        <v>1.458</v>
      </c>
      <c r="F32" s="129"/>
      <c r="G32" s="129" t="s">
        <v>266</v>
      </c>
      <c r="H32" s="129"/>
      <c r="I32" s="129"/>
      <c r="J32" s="129"/>
      <c r="K32" s="129" t="s">
        <v>280</v>
      </c>
      <c r="L32">
        <v>78</v>
      </c>
    </row>
    <row r="33" spans="1:12">
      <c r="A33" s="275"/>
      <c r="B33" s="132" t="s">
        <v>263</v>
      </c>
      <c r="C33" s="132">
        <v>39</v>
      </c>
      <c r="D33" s="132">
        <v>3</v>
      </c>
      <c r="E33" s="135">
        <v>0.46200000000000002</v>
      </c>
      <c r="F33" s="129"/>
      <c r="G33" s="129" t="s">
        <v>265</v>
      </c>
      <c r="H33" s="129"/>
      <c r="I33" s="129"/>
      <c r="J33" s="129"/>
      <c r="K33" s="129" t="s">
        <v>281</v>
      </c>
      <c r="L33">
        <v>3</v>
      </c>
    </row>
    <row r="34" spans="1:12">
      <c r="A34" s="275"/>
      <c r="B34" s="132" t="s">
        <v>264</v>
      </c>
      <c r="C34" s="132">
        <v>560</v>
      </c>
      <c r="D34" s="132">
        <v>56</v>
      </c>
      <c r="E34" s="135">
        <v>9.0719999999999992</v>
      </c>
      <c r="F34" s="129"/>
      <c r="G34" s="129" t="s">
        <v>266</v>
      </c>
      <c r="H34" s="129"/>
      <c r="I34" s="129"/>
      <c r="J34" s="129"/>
      <c r="K34" s="129" t="s">
        <v>282</v>
      </c>
      <c r="L34">
        <v>8</v>
      </c>
    </row>
    <row r="35" spans="1:12" ht="29.25" customHeight="1">
      <c r="A35" s="276" t="s">
        <v>35</v>
      </c>
      <c r="B35" s="276"/>
      <c r="C35" s="133">
        <f>SUM(C31:C34)</f>
        <v>1264</v>
      </c>
      <c r="D35" s="133">
        <f t="shared" ref="D35:E35" si="3">SUM(D31:D34)</f>
        <v>72</v>
      </c>
      <c r="E35" s="133">
        <f t="shared" si="3"/>
        <v>11.639999999999999</v>
      </c>
      <c r="F35" s="129"/>
      <c r="G35" s="129"/>
      <c r="H35" s="138"/>
      <c r="I35" s="129"/>
      <c r="J35" s="129"/>
      <c r="K35" s="129" t="s">
        <v>283</v>
      </c>
      <c r="L35">
        <v>3</v>
      </c>
    </row>
    <row r="36" spans="1:12" ht="21.75" customHeight="1">
      <c r="A36" s="131" t="s">
        <v>236</v>
      </c>
      <c r="B36" s="131" t="s">
        <v>235</v>
      </c>
      <c r="C36" s="131" t="s">
        <v>234</v>
      </c>
      <c r="D36" s="131" t="s">
        <v>237</v>
      </c>
      <c r="E36" s="131" t="s">
        <v>238</v>
      </c>
      <c r="F36" s="130"/>
      <c r="G36" s="130"/>
      <c r="H36" s="130"/>
      <c r="I36" s="129"/>
      <c r="J36" s="129"/>
      <c r="K36" s="129" t="s">
        <v>284</v>
      </c>
      <c r="L36">
        <v>3</v>
      </c>
    </row>
    <row r="37" spans="1:12">
      <c r="A37" s="275" t="s">
        <v>267</v>
      </c>
      <c r="B37" s="132" t="s">
        <v>268</v>
      </c>
      <c r="C37" s="132">
        <v>630</v>
      </c>
      <c r="D37" s="141">
        <v>35</v>
      </c>
      <c r="E37" s="135">
        <v>5.67</v>
      </c>
      <c r="F37" s="129"/>
      <c r="G37" s="129" t="s">
        <v>266</v>
      </c>
      <c r="H37" s="129"/>
      <c r="I37" s="129"/>
      <c r="J37" s="129"/>
      <c r="K37" s="129" t="s">
        <v>285</v>
      </c>
      <c r="L37">
        <v>14</v>
      </c>
    </row>
    <row r="38" spans="1:12">
      <c r="A38" s="275"/>
      <c r="B38" s="132" t="s">
        <v>269</v>
      </c>
      <c r="C38" s="132">
        <v>218</v>
      </c>
      <c r="D38" s="132">
        <v>22</v>
      </c>
      <c r="E38" s="135">
        <v>3.5640000000000001</v>
      </c>
      <c r="F38" s="129"/>
      <c r="G38" s="129" t="s">
        <v>266</v>
      </c>
      <c r="H38" s="129"/>
      <c r="I38" s="129"/>
      <c r="J38" s="129"/>
      <c r="K38" s="129" t="s">
        <v>286</v>
      </c>
      <c r="L38">
        <v>1</v>
      </c>
    </row>
    <row r="39" spans="1:12" ht="29.25" customHeight="1">
      <c r="A39" s="276" t="s">
        <v>35</v>
      </c>
      <c r="B39" s="276"/>
      <c r="C39" s="133">
        <f>SUM(C37:C38)</f>
        <v>848</v>
      </c>
      <c r="D39" s="133">
        <f>SUM(D37:D38)</f>
        <v>57</v>
      </c>
      <c r="E39" s="136">
        <f>SUM(E37:E38)</f>
        <v>9.234</v>
      </c>
      <c r="F39" s="129"/>
      <c r="G39" s="129"/>
      <c r="H39" s="138"/>
      <c r="I39" s="129"/>
      <c r="J39" s="129"/>
      <c r="K39" s="138" t="s">
        <v>287</v>
      </c>
      <c r="L39">
        <v>3</v>
      </c>
    </row>
    <row r="40" spans="1:12" ht="21.75" customHeight="1">
      <c r="A40" s="131" t="s">
        <v>236</v>
      </c>
      <c r="B40" s="131" t="s">
        <v>235</v>
      </c>
      <c r="C40" s="131" t="s">
        <v>234</v>
      </c>
      <c r="D40" s="131" t="s">
        <v>237</v>
      </c>
      <c r="E40" s="131" t="s">
        <v>238</v>
      </c>
      <c r="F40" s="130"/>
      <c r="G40" s="130"/>
      <c r="H40" s="130"/>
      <c r="I40" s="129"/>
      <c r="J40" s="129"/>
      <c r="K40" s="129" t="s">
        <v>288</v>
      </c>
      <c r="L40">
        <v>4</v>
      </c>
    </row>
    <row r="41" spans="1:12">
      <c r="A41" s="139" t="s">
        <v>270</v>
      </c>
      <c r="B41" s="132" t="s">
        <v>268</v>
      </c>
      <c r="C41" s="132">
        <f>18*42</f>
        <v>756</v>
      </c>
      <c r="D41" s="141">
        <v>42</v>
      </c>
      <c r="E41" s="135">
        <v>6.8040000000000003</v>
      </c>
      <c r="F41" s="129"/>
      <c r="G41" s="129" t="s">
        <v>266</v>
      </c>
      <c r="H41" s="129"/>
      <c r="I41" s="129"/>
      <c r="J41" s="129"/>
      <c r="K41" s="129" t="s">
        <v>241</v>
      </c>
      <c r="L41">
        <v>9</v>
      </c>
    </row>
    <row r="42" spans="1:12" ht="29.25" customHeight="1">
      <c r="A42" s="276" t="s">
        <v>35</v>
      </c>
      <c r="B42" s="276"/>
      <c r="C42" s="133">
        <f>SUM(C41:C41)</f>
        <v>756</v>
      </c>
      <c r="D42" s="133">
        <f>SUM(D41:D41)</f>
        <v>42</v>
      </c>
      <c r="E42" s="136">
        <f>SUM(E41:E41)</f>
        <v>6.8040000000000003</v>
      </c>
      <c r="F42" s="129"/>
      <c r="G42" s="129"/>
      <c r="H42" s="138"/>
      <c r="I42" s="129"/>
      <c r="J42" s="129"/>
      <c r="K42" s="138" t="s">
        <v>289</v>
      </c>
      <c r="L42">
        <v>3</v>
      </c>
    </row>
    <row r="43" spans="1:12" ht="21.75" customHeight="1">
      <c r="A43" s="131" t="s">
        <v>236</v>
      </c>
      <c r="B43" s="131" t="s">
        <v>235</v>
      </c>
      <c r="C43" s="131" t="s">
        <v>234</v>
      </c>
      <c r="D43" s="131" t="s">
        <v>237</v>
      </c>
      <c r="E43" s="131" t="s">
        <v>238</v>
      </c>
      <c r="F43" s="130"/>
      <c r="G43" s="130"/>
      <c r="H43" s="130"/>
      <c r="I43" s="129"/>
      <c r="J43" s="129"/>
      <c r="K43" s="129" t="s">
        <v>290</v>
      </c>
      <c r="L43">
        <v>1</v>
      </c>
    </row>
    <row r="44" spans="1:12">
      <c r="A44" s="139" t="s">
        <v>271</v>
      </c>
      <c r="B44" s="132" t="s">
        <v>268</v>
      </c>
      <c r="C44" s="132">
        <v>684</v>
      </c>
      <c r="D44" s="141">
        <f>C44/18</f>
        <v>38</v>
      </c>
      <c r="E44" s="135">
        <v>6.1559999999999997</v>
      </c>
      <c r="F44" s="129"/>
      <c r="G44" s="129" t="s">
        <v>266</v>
      </c>
      <c r="H44" s="129"/>
      <c r="I44" s="129"/>
      <c r="J44" s="129"/>
      <c r="K44" s="129" t="s">
        <v>291</v>
      </c>
      <c r="L44">
        <v>9</v>
      </c>
    </row>
    <row r="45" spans="1:12" ht="29.25" customHeight="1">
      <c r="A45" s="276" t="s">
        <v>35</v>
      </c>
      <c r="B45" s="276"/>
      <c r="C45" s="133">
        <f>SUM(C44:C44)</f>
        <v>684</v>
      </c>
      <c r="D45" s="133">
        <f>SUM(D44:D44)</f>
        <v>38</v>
      </c>
      <c r="E45" s="136">
        <f>SUM(E44:E44)</f>
        <v>6.1559999999999997</v>
      </c>
      <c r="F45" s="129"/>
      <c r="G45" s="129"/>
      <c r="H45" s="138"/>
      <c r="I45" s="129"/>
      <c r="J45" s="129"/>
      <c r="K45" s="138" t="s">
        <v>292</v>
      </c>
      <c r="L45">
        <v>1</v>
      </c>
    </row>
    <row r="46" spans="1:12" ht="21.75" customHeight="1">
      <c r="A46" s="131" t="s">
        <v>236</v>
      </c>
      <c r="B46" s="131" t="s">
        <v>235</v>
      </c>
      <c r="C46" s="131" t="s">
        <v>234</v>
      </c>
      <c r="D46" s="131" t="s">
        <v>237</v>
      </c>
      <c r="E46" s="131" t="s">
        <v>238</v>
      </c>
      <c r="F46" s="130"/>
      <c r="G46" s="130"/>
      <c r="H46" s="130"/>
      <c r="I46" s="129"/>
      <c r="J46" s="129"/>
      <c r="K46" s="129" t="s">
        <v>293</v>
      </c>
      <c r="L46">
        <v>562</v>
      </c>
    </row>
    <row r="47" spans="1:12">
      <c r="A47" s="139" t="s">
        <v>272</v>
      </c>
      <c r="B47" s="132" t="s">
        <v>268</v>
      </c>
      <c r="C47" s="132">
        <v>1206</v>
      </c>
      <c r="D47" s="141">
        <f>C47/18</f>
        <v>67</v>
      </c>
      <c r="E47" s="135">
        <v>10.853999999999999</v>
      </c>
      <c r="F47" s="129"/>
      <c r="G47" s="129" t="s">
        <v>266</v>
      </c>
      <c r="H47" s="129"/>
      <c r="I47" s="129"/>
      <c r="J47" s="129"/>
      <c r="K47" s="129" t="s">
        <v>294</v>
      </c>
      <c r="L47">
        <v>9</v>
      </c>
    </row>
    <row r="48" spans="1:12" ht="29.25" customHeight="1">
      <c r="A48" s="276" t="s">
        <v>35</v>
      </c>
      <c r="B48" s="276"/>
      <c r="C48" s="133">
        <f>SUM(C47:C47)</f>
        <v>1206</v>
      </c>
      <c r="D48" s="133">
        <f>SUM(D47:D47)</f>
        <v>67</v>
      </c>
      <c r="E48" s="136">
        <f>SUM(E47:E47)</f>
        <v>10.853999999999999</v>
      </c>
      <c r="F48" s="129"/>
      <c r="G48" s="129"/>
      <c r="H48" s="138"/>
      <c r="I48" s="129"/>
      <c r="J48" s="129"/>
      <c r="K48" s="129" t="s">
        <v>295</v>
      </c>
      <c r="L48">
        <v>1</v>
      </c>
    </row>
    <row r="49" spans="1:12" ht="21.75" customHeight="1">
      <c r="A49" s="131" t="s">
        <v>236</v>
      </c>
      <c r="B49" s="131" t="s">
        <v>235</v>
      </c>
      <c r="C49" s="131" t="s">
        <v>234</v>
      </c>
      <c r="D49" s="131" t="s">
        <v>237</v>
      </c>
      <c r="E49" s="131" t="s">
        <v>238</v>
      </c>
      <c r="F49" s="130"/>
      <c r="G49" s="130"/>
      <c r="H49" s="130"/>
      <c r="I49" s="129"/>
      <c r="J49" s="129"/>
      <c r="K49" s="129"/>
      <c r="L49">
        <f>SUM(L31:L48)</f>
        <v>741</v>
      </c>
    </row>
    <row r="50" spans="1:12">
      <c r="A50" s="285" t="s">
        <v>273</v>
      </c>
      <c r="B50" s="132" t="s">
        <v>268</v>
      </c>
      <c r="C50" s="132">
        <v>846</v>
      </c>
      <c r="D50" s="141">
        <v>47</v>
      </c>
      <c r="E50" s="135">
        <v>7.6139999999999999</v>
      </c>
      <c r="F50" s="129"/>
      <c r="G50" s="129" t="s">
        <v>266</v>
      </c>
      <c r="H50" s="129"/>
      <c r="I50" s="129"/>
      <c r="J50" s="129"/>
      <c r="K50" s="129"/>
    </row>
    <row r="51" spans="1:12">
      <c r="A51" s="286"/>
      <c r="B51" s="132" t="s">
        <v>268</v>
      </c>
      <c r="C51" s="132">
        <v>220</v>
      </c>
      <c r="D51" s="141">
        <v>11</v>
      </c>
      <c r="E51" s="135">
        <v>2.1539999999999999</v>
      </c>
      <c r="F51" s="129"/>
      <c r="G51" s="129" t="s">
        <v>274</v>
      </c>
      <c r="H51" s="129"/>
      <c r="I51" s="129"/>
      <c r="J51" s="129"/>
      <c r="K51" s="129"/>
    </row>
    <row r="52" spans="1:12" ht="29.25" customHeight="1">
      <c r="A52" s="276" t="s">
        <v>35</v>
      </c>
      <c r="B52" s="276"/>
      <c r="C52" s="133">
        <f>SUM(C50:C51)</f>
        <v>1066</v>
      </c>
      <c r="D52" s="133">
        <f t="shared" ref="D52:E52" si="4">SUM(D50:D51)</f>
        <v>58</v>
      </c>
      <c r="E52" s="136">
        <f t="shared" si="4"/>
        <v>9.7680000000000007</v>
      </c>
      <c r="F52" s="129"/>
      <c r="G52" s="129"/>
      <c r="H52" s="138"/>
      <c r="I52" s="129"/>
      <c r="J52" s="129"/>
      <c r="K52" s="138"/>
    </row>
    <row r="53" spans="1:12" ht="21.75" customHeight="1">
      <c r="A53" s="131" t="s">
        <v>236</v>
      </c>
      <c r="B53" s="131" t="s">
        <v>235</v>
      </c>
      <c r="C53" s="131" t="s">
        <v>234</v>
      </c>
      <c r="D53" s="131" t="s">
        <v>237</v>
      </c>
      <c r="E53" s="131" t="s">
        <v>238</v>
      </c>
      <c r="F53" s="130"/>
      <c r="G53" s="130"/>
      <c r="H53" s="130"/>
      <c r="I53" s="129"/>
      <c r="J53" s="129"/>
      <c r="K53" s="129"/>
    </row>
    <row r="54" spans="1:12">
      <c r="A54" s="139" t="s">
        <v>276</v>
      </c>
      <c r="B54" s="132" t="s">
        <v>268</v>
      </c>
      <c r="C54" s="132">
        <v>648</v>
      </c>
      <c r="D54" s="141">
        <f>C54/18</f>
        <v>36</v>
      </c>
      <c r="E54" s="135">
        <v>5.8319999999999999</v>
      </c>
      <c r="F54" s="129"/>
      <c r="G54" s="129" t="s">
        <v>266</v>
      </c>
      <c r="H54" s="129"/>
      <c r="I54" s="129"/>
      <c r="J54" s="129"/>
      <c r="K54" s="129"/>
    </row>
    <row r="55" spans="1:12" ht="29.25" customHeight="1">
      <c r="A55" s="276" t="s">
        <v>35</v>
      </c>
      <c r="B55" s="276"/>
      <c r="C55" s="133">
        <f>SUM(C54:C54)</f>
        <v>648</v>
      </c>
      <c r="D55" s="133">
        <f>SUM(D54:D54)</f>
        <v>36</v>
      </c>
      <c r="E55" s="136">
        <f>SUM(E54:E54)</f>
        <v>5.8319999999999999</v>
      </c>
      <c r="F55" s="129"/>
      <c r="G55" s="129"/>
      <c r="H55" s="138"/>
      <c r="I55" s="129"/>
      <c r="J55" s="129"/>
      <c r="K55" s="138"/>
    </row>
    <row r="56" spans="1:12" ht="21.75" customHeight="1">
      <c r="A56" s="131" t="s">
        <v>236</v>
      </c>
      <c r="B56" s="131" t="s">
        <v>235</v>
      </c>
      <c r="C56" s="131" t="s">
        <v>234</v>
      </c>
      <c r="D56" s="131" t="s">
        <v>237</v>
      </c>
      <c r="E56" s="131" t="s">
        <v>238</v>
      </c>
      <c r="F56" s="130"/>
      <c r="G56" s="130"/>
      <c r="H56" s="130"/>
      <c r="I56" s="129"/>
      <c r="J56" s="129"/>
      <c r="K56" s="129"/>
    </row>
    <row r="57" spans="1:12">
      <c r="A57" s="139" t="s">
        <v>277</v>
      </c>
      <c r="B57" s="132" t="s">
        <v>268</v>
      </c>
      <c r="C57" s="132">
        <v>648</v>
      </c>
      <c r="D57" s="141">
        <f>C57/18</f>
        <v>36</v>
      </c>
      <c r="E57" s="135">
        <v>5.8319999999999999</v>
      </c>
      <c r="F57" s="129"/>
      <c r="G57" s="129" t="s">
        <v>266</v>
      </c>
      <c r="H57" s="129"/>
      <c r="I57" s="129"/>
      <c r="J57" s="129"/>
      <c r="K57" s="129"/>
    </row>
    <row r="58" spans="1:12" ht="29.25" customHeight="1">
      <c r="A58" s="276" t="s">
        <v>35</v>
      </c>
      <c r="B58" s="276"/>
      <c r="C58" s="133">
        <f>SUM(C57:C57)</f>
        <v>648</v>
      </c>
      <c r="D58" s="133">
        <f>SUM(D57:D57)</f>
        <v>36</v>
      </c>
      <c r="E58" s="136">
        <f>SUM(E57:E57)</f>
        <v>5.8319999999999999</v>
      </c>
      <c r="F58" s="129"/>
      <c r="G58" s="129"/>
      <c r="H58" s="138"/>
      <c r="I58" s="129"/>
      <c r="J58" s="129"/>
      <c r="K58" s="138"/>
    </row>
    <row r="59" spans="1:12" ht="21.75" customHeight="1">
      <c r="A59" s="131" t="s">
        <v>236</v>
      </c>
      <c r="B59" s="131" t="s">
        <v>235</v>
      </c>
      <c r="C59" s="131" t="s">
        <v>234</v>
      </c>
      <c r="D59" s="131" t="s">
        <v>237</v>
      </c>
      <c r="E59" s="131" t="s">
        <v>238</v>
      </c>
      <c r="F59" s="130"/>
      <c r="G59" s="130"/>
      <c r="H59" s="130"/>
      <c r="I59" s="129"/>
      <c r="J59" s="129"/>
      <c r="K59" s="129"/>
    </row>
    <row r="60" spans="1:12">
      <c r="A60" s="139" t="s">
        <v>278</v>
      </c>
      <c r="B60" s="132" t="s">
        <v>268</v>
      </c>
      <c r="C60" s="132">
        <v>980</v>
      </c>
      <c r="D60" s="142">
        <f>C60/18</f>
        <v>54.444444444444443</v>
      </c>
      <c r="E60" s="135">
        <v>8.7479999999999993</v>
      </c>
      <c r="F60" s="129"/>
      <c r="G60" s="129" t="s">
        <v>266</v>
      </c>
      <c r="H60" s="129"/>
      <c r="I60" s="129"/>
      <c r="J60" s="129"/>
      <c r="K60" s="129"/>
    </row>
    <row r="61" spans="1:12" ht="29.25" customHeight="1">
      <c r="A61" s="276" t="s">
        <v>35</v>
      </c>
      <c r="B61" s="276"/>
      <c r="C61" s="133">
        <f>SUM(C60:C60)</f>
        <v>980</v>
      </c>
      <c r="D61" s="143">
        <f>SUM(D60:D60)</f>
        <v>54.444444444444443</v>
      </c>
      <c r="E61" s="136">
        <f>SUM(E60:E60)</f>
        <v>8.7479999999999993</v>
      </c>
      <c r="F61" s="129"/>
      <c r="G61" s="129"/>
      <c r="H61" s="138"/>
      <c r="I61" s="129"/>
      <c r="J61" s="129"/>
      <c r="K61" s="138"/>
    </row>
    <row r="62" spans="1:12">
      <c r="A62" s="129"/>
      <c r="B62" s="129"/>
      <c r="C62" s="129"/>
      <c r="D62" s="129"/>
      <c r="E62" s="129"/>
      <c r="F62" s="129"/>
      <c r="G62" s="129"/>
      <c r="H62" s="129"/>
      <c r="I62" s="138"/>
      <c r="J62" s="129"/>
      <c r="K62" s="129"/>
    </row>
    <row r="63" spans="1:12">
      <c r="A63" s="274" t="s">
        <v>246</v>
      </c>
      <c r="B63" s="274"/>
      <c r="C63" s="103" t="s">
        <v>234</v>
      </c>
      <c r="D63" s="103" t="s">
        <v>237</v>
      </c>
      <c r="E63" s="103" t="s">
        <v>238</v>
      </c>
      <c r="F63" s="129"/>
      <c r="G63" s="129"/>
      <c r="H63" s="129"/>
      <c r="I63" s="129"/>
      <c r="J63" s="129"/>
      <c r="K63" s="129"/>
    </row>
    <row r="64" spans="1:12" ht="29.25" customHeight="1">
      <c r="A64" s="274"/>
      <c r="B64" s="274"/>
      <c r="C64" s="137">
        <f>C5+C12+C15+C29+C35+C39+C42+C45+C48+C52+C54+C58+C61</f>
        <v>17179</v>
      </c>
      <c r="D64" s="144">
        <f t="shared" ref="D64:E64" si="5">D5+D12+D15+D29+D35+D39+D42+D45+D48+D52+D54+D58+D61</f>
        <v>742.44444444444446</v>
      </c>
      <c r="E64" s="137">
        <f t="shared" si="5"/>
        <v>118</v>
      </c>
      <c r="F64" s="129"/>
      <c r="G64" s="129">
        <v>29.65</v>
      </c>
      <c r="H64" s="138">
        <f>E64+G64</f>
        <v>147.65</v>
      </c>
      <c r="I64" s="129"/>
      <c r="J64" s="129"/>
      <c r="K64" s="129"/>
    </row>
    <row r="65" spans="1:11">
      <c r="A65" s="129"/>
      <c r="B65" s="129" t="s">
        <v>275</v>
      </c>
      <c r="C65" s="138">
        <f>17179-C64</f>
        <v>0</v>
      </c>
      <c r="D65" s="140">
        <f>C65/18</f>
        <v>0</v>
      </c>
      <c r="E65" s="138">
        <f>D65*0.9*0.6*0.3</f>
        <v>0</v>
      </c>
      <c r="F65" s="129"/>
      <c r="G65" s="129"/>
      <c r="H65" s="129"/>
      <c r="I65" s="129"/>
      <c r="J65" s="138"/>
      <c r="K65" s="129"/>
    </row>
    <row r="66" spans="1:11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</row>
    <row r="67" spans="1:11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</row>
    <row r="68" spans="1:11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</row>
    <row r="69" spans="1:11">
      <c r="A69" s="129"/>
      <c r="B69" s="129"/>
      <c r="C69" s="129">
        <v>17179</v>
      </c>
      <c r="D69" s="129"/>
      <c r="E69" s="129"/>
      <c r="F69" s="129"/>
      <c r="G69" s="129"/>
      <c r="H69" s="129"/>
      <c r="I69" s="129"/>
      <c r="J69" s="129"/>
      <c r="K69" s="129"/>
    </row>
    <row r="70" spans="1:11">
      <c r="A70" s="129"/>
      <c r="B70" s="129"/>
      <c r="C70" s="129">
        <v>4603</v>
      </c>
      <c r="D70" s="129"/>
      <c r="E70" s="129"/>
      <c r="F70" s="129"/>
      <c r="G70" s="129"/>
      <c r="H70" s="129"/>
      <c r="I70" s="129"/>
      <c r="J70" s="129"/>
      <c r="K70" s="129"/>
    </row>
    <row r="71" spans="1:11">
      <c r="C71">
        <f>SUM(C69:C70)</f>
        <v>21782</v>
      </c>
    </row>
  </sheetData>
  <mergeCells count="26">
    <mergeCell ref="A63:B64"/>
    <mergeCell ref="E8:E11"/>
    <mergeCell ref="A7:A11"/>
    <mergeCell ref="A29:B29"/>
    <mergeCell ref="E25:E26"/>
    <mergeCell ref="E21:E22"/>
    <mergeCell ref="A31:A34"/>
    <mergeCell ref="A37:A38"/>
    <mergeCell ref="A39:B39"/>
    <mergeCell ref="A42:B42"/>
    <mergeCell ref="A45:B45"/>
    <mergeCell ref="A48:B48"/>
    <mergeCell ref="A52:B52"/>
    <mergeCell ref="A50:A51"/>
    <mergeCell ref="A58:B58"/>
    <mergeCell ref="A55:B55"/>
    <mergeCell ref="A35:B35"/>
    <mergeCell ref="A15:B15"/>
    <mergeCell ref="A61:B61"/>
    <mergeCell ref="A3:A4"/>
    <mergeCell ref="D8:D11"/>
    <mergeCell ref="A5:B5"/>
    <mergeCell ref="A12:B12"/>
    <mergeCell ref="A17:A28"/>
    <mergeCell ref="D21:D22"/>
    <mergeCell ref="D25:D26"/>
  </mergeCells>
  <pageMargins left="0.7" right="0.7" top="0.75" bottom="0.75" header="0.3" footer="0.3"/>
  <pageSetup paperSize="9" scale="59" orientation="portrait" verticalDpi="0" r:id="rId1"/>
  <rowBreaks count="1" manualBreakCount="1">
    <brk id="6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zoomScale="66" zoomScaleNormal="100" zoomScaleSheetLayoutView="66" workbookViewId="0">
      <pane xSplit="5" ySplit="1" topLeftCell="F32" activePane="bottomRight" state="frozen"/>
      <selection pane="topRight" activeCell="F1" sqref="F1"/>
      <selection pane="bottomLeft" activeCell="A7" sqref="A7"/>
      <selection pane="bottomRight" activeCell="I36" sqref="I36:I39"/>
    </sheetView>
  </sheetViews>
  <sheetFormatPr defaultRowHeight="15"/>
  <cols>
    <col min="1" max="1" width="22" customWidth="1"/>
    <col min="2" max="2" width="18.5703125" customWidth="1"/>
    <col min="3" max="3" width="28.7109375" customWidth="1"/>
    <col min="4" max="4" width="19" customWidth="1"/>
    <col min="5" max="5" width="9" hidden="1" customWidth="1"/>
    <col min="6" max="7" width="17" customWidth="1"/>
    <col min="8" max="8" width="18.7109375" customWidth="1"/>
    <col min="9" max="10" width="11.7109375" customWidth="1"/>
    <col min="11" max="11" width="14.5703125" customWidth="1"/>
    <col min="12" max="12" width="11.5703125" customWidth="1"/>
    <col min="13" max="13" width="9.140625" customWidth="1"/>
    <col min="14" max="14" width="15.28515625" customWidth="1"/>
    <col min="15" max="15" width="9.5703125" customWidth="1"/>
    <col min="16" max="16" width="8.7109375" customWidth="1"/>
    <col min="18" max="18" width="0" hidden="1" customWidth="1"/>
  </cols>
  <sheetData>
    <row r="1" spans="1:18" s="165" customFormat="1" ht="60.75" hidden="1" customHeight="1">
      <c r="A1" s="156" t="s">
        <v>345</v>
      </c>
      <c r="B1" s="157"/>
      <c r="C1" s="158"/>
      <c r="D1" s="159"/>
      <c r="E1" s="160"/>
      <c r="F1" s="161" t="s">
        <v>346</v>
      </c>
      <c r="G1" s="162" t="s">
        <v>347</v>
      </c>
      <c r="H1" s="163" t="s">
        <v>348</v>
      </c>
      <c r="I1" s="157"/>
      <c r="J1" s="157"/>
      <c r="K1" s="157"/>
      <c r="L1" s="157"/>
      <c r="M1" s="163"/>
      <c r="N1" s="157"/>
      <c r="O1" s="157"/>
      <c r="P1" s="157"/>
      <c r="Q1" s="157"/>
      <c r="R1" s="164"/>
    </row>
    <row r="2" spans="1:18" s="165" customFormat="1" ht="60.75" hidden="1" customHeight="1">
      <c r="A2" s="163" t="s">
        <v>349</v>
      </c>
      <c r="B2" s="157"/>
      <c r="C2" s="163" t="s">
        <v>350</v>
      </c>
      <c r="D2" s="159"/>
      <c r="E2" s="166"/>
      <c r="F2" s="161" t="s">
        <v>351</v>
      </c>
      <c r="G2" s="162"/>
      <c r="H2" s="157"/>
      <c r="I2" s="157"/>
      <c r="J2" s="157"/>
      <c r="K2" s="157"/>
      <c r="L2" s="157"/>
      <c r="M2" s="163"/>
      <c r="N2" s="159"/>
      <c r="O2" s="159"/>
      <c r="P2" s="157"/>
      <c r="Q2" s="157"/>
      <c r="R2" s="164"/>
    </row>
    <row r="3" spans="1:18" s="165" customFormat="1" ht="60.75" hidden="1" customHeight="1">
      <c r="A3" s="163"/>
      <c r="B3" s="163"/>
      <c r="C3" s="157"/>
      <c r="D3" s="159"/>
      <c r="E3" s="159"/>
      <c r="F3" s="163"/>
      <c r="G3" s="163"/>
      <c r="H3" s="163"/>
      <c r="I3" s="163"/>
      <c r="J3" s="163"/>
      <c r="K3" s="163"/>
      <c r="L3" s="163"/>
      <c r="M3" s="163"/>
      <c r="N3" s="159"/>
      <c r="O3" s="159"/>
      <c r="P3" s="157"/>
      <c r="Q3" s="157"/>
      <c r="R3" s="167"/>
    </row>
    <row r="4" spans="1:18" s="165" customFormat="1" ht="60.75" hidden="1" customHeight="1">
      <c r="A4" s="303" t="s">
        <v>352</v>
      </c>
      <c r="B4" s="303"/>
      <c r="C4" s="303"/>
      <c r="D4" s="304"/>
      <c r="E4" s="168"/>
      <c r="F4" s="306" t="s">
        <v>353</v>
      </c>
      <c r="G4" s="306"/>
      <c r="H4" s="306"/>
      <c r="I4" s="306"/>
      <c r="J4" s="306"/>
      <c r="K4" s="306"/>
      <c r="L4" s="306"/>
      <c r="M4" s="306"/>
      <c r="N4" s="308" t="s">
        <v>354</v>
      </c>
      <c r="O4" s="310" t="s">
        <v>355</v>
      </c>
      <c r="P4" s="293" t="s">
        <v>356</v>
      </c>
      <c r="Q4" s="293" t="s">
        <v>357</v>
      </c>
      <c r="R4" s="169"/>
    </row>
    <row r="5" spans="1:18" ht="36" hidden="1" customHeight="1">
      <c r="A5" s="303"/>
      <c r="B5" s="303"/>
      <c r="C5" s="303"/>
      <c r="D5" s="305"/>
      <c r="E5" s="170"/>
      <c r="F5" s="307"/>
      <c r="G5" s="307"/>
      <c r="H5" s="307"/>
      <c r="I5" s="307"/>
      <c r="J5" s="307"/>
      <c r="K5" s="307"/>
      <c r="L5" s="307"/>
      <c r="M5" s="307"/>
      <c r="N5" s="309"/>
      <c r="O5" s="311"/>
      <c r="P5" s="294"/>
      <c r="Q5" s="294"/>
      <c r="R5" s="171"/>
    </row>
    <row r="6" spans="1:18" s="177" customFormat="1" ht="33.75" hidden="1" customHeight="1">
      <c r="A6" s="172" t="s">
        <v>358</v>
      </c>
      <c r="B6" s="172" t="s">
        <v>359</v>
      </c>
      <c r="C6" s="172" t="s">
        <v>360</v>
      </c>
      <c r="D6" s="305"/>
      <c r="E6" s="173" t="s">
        <v>361</v>
      </c>
      <c r="F6" s="174"/>
      <c r="G6" s="174"/>
      <c r="H6" s="174"/>
      <c r="I6" s="174"/>
      <c r="J6" s="175"/>
      <c r="K6" s="175"/>
      <c r="L6" s="175"/>
      <c r="M6" s="174"/>
      <c r="N6" s="309"/>
      <c r="O6" s="311"/>
      <c r="P6" s="294"/>
      <c r="Q6" s="294"/>
      <c r="R6" s="176"/>
    </row>
    <row r="7" spans="1:18" s="186" customFormat="1" ht="48.75" hidden="1" customHeight="1">
      <c r="A7" s="295"/>
      <c r="B7" s="178"/>
      <c r="C7" s="179" t="s">
        <v>304</v>
      </c>
      <c r="D7" s="180"/>
      <c r="E7" s="181"/>
      <c r="F7" s="182"/>
      <c r="G7" s="182"/>
      <c r="H7" s="182"/>
      <c r="I7" s="182"/>
      <c r="J7" s="182"/>
      <c r="K7" s="182"/>
      <c r="L7" s="182"/>
      <c r="M7" s="182"/>
      <c r="N7" s="183">
        <f>SUM(F7:M7)</f>
        <v>0</v>
      </c>
      <c r="O7" s="184"/>
      <c r="P7" s="185"/>
      <c r="Q7" s="185"/>
      <c r="R7" s="182"/>
    </row>
    <row r="8" spans="1:18" s="186" customFormat="1" ht="69.75" hidden="1" customHeight="1">
      <c r="A8" s="296"/>
      <c r="B8" s="187"/>
      <c r="C8" s="179" t="s">
        <v>30</v>
      </c>
      <c r="D8" s="180"/>
      <c r="E8" s="188"/>
      <c r="F8" s="189"/>
      <c r="G8" s="189"/>
      <c r="H8" s="189"/>
      <c r="I8" s="189"/>
      <c r="J8" s="189"/>
      <c r="K8" s="189"/>
      <c r="L8" s="189"/>
      <c r="M8" s="189"/>
      <c r="N8" s="183">
        <f>SUM(F8:M8)</f>
        <v>0</v>
      </c>
      <c r="O8" s="184"/>
      <c r="P8" s="185"/>
      <c r="Q8" s="185"/>
      <c r="R8" s="189"/>
    </row>
    <row r="9" spans="1:18" s="186" customFormat="1" ht="69.75" hidden="1" customHeight="1">
      <c r="A9" s="296"/>
      <c r="B9" s="187"/>
      <c r="C9" s="179" t="s">
        <v>315</v>
      </c>
      <c r="D9" s="180"/>
      <c r="E9" s="188"/>
      <c r="F9" s="189"/>
      <c r="G9" s="189"/>
      <c r="H9" s="189"/>
      <c r="I9" s="189"/>
      <c r="J9" s="189"/>
      <c r="K9" s="189"/>
      <c r="L9" s="189"/>
      <c r="M9" s="189"/>
      <c r="N9" s="183">
        <f>SUM(F9:M9)</f>
        <v>0</v>
      </c>
      <c r="O9" s="184"/>
      <c r="P9" s="185"/>
      <c r="Q9" s="185"/>
      <c r="R9" s="189"/>
    </row>
    <row r="10" spans="1:18" s="186" customFormat="1" ht="69.75" hidden="1" customHeight="1">
      <c r="A10" s="190"/>
      <c r="B10" s="191"/>
      <c r="C10" s="192"/>
      <c r="D10" s="297" t="s">
        <v>362</v>
      </c>
      <c r="E10" s="298"/>
      <c r="F10" s="193">
        <f t="shared" ref="F10:N10" si="0">SUM(F7:F9)</f>
        <v>0</v>
      </c>
      <c r="G10" s="193">
        <f t="shared" si="0"/>
        <v>0</v>
      </c>
      <c r="H10" s="193">
        <f t="shared" si="0"/>
        <v>0</v>
      </c>
      <c r="I10" s="193">
        <f t="shared" si="0"/>
        <v>0</v>
      </c>
      <c r="J10" s="193">
        <f t="shared" si="0"/>
        <v>0</v>
      </c>
      <c r="K10" s="193">
        <f t="shared" si="0"/>
        <v>0</v>
      </c>
      <c r="L10" s="193">
        <f t="shared" si="0"/>
        <v>0</v>
      </c>
      <c r="M10" s="193">
        <f t="shared" si="0"/>
        <v>0</v>
      </c>
      <c r="N10" s="193">
        <f t="shared" si="0"/>
        <v>0</v>
      </c>
      <c r="O10" s="194"/>
      <c r="P10" s="185"/>
      <c r="Q10" s="185"/>
      <c r="R10" s="193">
        <f t="shared" ref="R10" si="1">SUM(R7:R9)</f>
        <v>0</v>
      </c>
    </row>
    <row r="11" spans="1:18" s="177" customFormat="1" ht="32.25" customHeight="1">
      <c r="A11" s="195"/>
      <c r="B11" s="196"/>
      <c r="C11" s="196"/>
      <c r="D11" s="197"/>
      <c r="E11" s="197"/>
      <c r="F11" s="197"/>
      <c r="G11" s="197"/>
      <c r="H11" s="197"/>
      <c r="I11" s="197"/>
      <c r="J11" s="197">
        <v>14</v>
      </c>
      <c r="K11" s="197"/>
      <c r="L11" s="197"/>
      <c r="M11" s="197">
        <v>8</v>
      </c>
      <c r="N11" s="197">
        <v>12</v>
      </c>
      <c r="O11" s="197"/>
      <c r="P11" s="197"/>
      <c r="Q11" s="197"/>
      <c r="R11" s="198"/>
    </row>
    <row r="12" spans="1:18" ht="28.5" customHeight="1">
      <c r="F12" s="199"/>
      <c r="G12" s="299" t="s">
        <v>363</v>
      </c>
      <c r="H12" s="300"/>
      <c r="I12" s="300"/>
    </row>
    <row r="13" spans="1:18" ht="28.5" customHeight="1">
      <c r="F13" s="199"/>
      <c r="G13" s="200" t="s">
        <v>364</v>
      </c>
      <c r="H13" s="200" t="s">
        <v>365</v>
      </c>
      <c r="I13" s="200" t="s">
        <v>234</v>
      </c>
    </row>
    <row r="14" spans="1:18" ht="28.5" customHeight="1">
      <c r="E14" s="201"/>
      <c r="F14" s="202"/>
      <c r="G14" s="287" t="s">
        <v>366</v>
      </c>
      <c r="H14" s="203">
        <v>1</v>
      </c>
      <c r="I14" s="203">
        <v>40</v>
      </c>
    </row>
    <row r="15" spans="1:18" ht="28.5" customHeight="1">
      <c r="E15" s="201"/>
      <c r="F15" s="202"/>
      <c r="G15" s="291"/>
      <c r="H15" s="204">
        <v>2</v>
      </c>
      <c r="I15" s="203">
        <v>40</v>
      </c>
    </row>
    <row r="16" spans="1:18" ht="28.5" customHeight="1">
      <c r="E16" s="201"/>
      <c r="F16" s="202"/>
      <c r="G16" s="291"/>
      <c r="H16" s="203">
        <v>3</v>
      </c>
      <c r="I16" s="203">
        <v>40</v>
      </c>
    </row>
    <row r="17" spans="5:9" ht="28.5" customHeight="1">
      <c r="E17" s="201"/>
      <c r="F17" s="202"/>
      <c r="G17" s="291"/>
      <c r="H17" s="204">
        <v>4</v>
      </c>
      <c r="I17" s="203">
        <v>30</v>
      </c>
    </row>
    <row r="18" spans="5:9" ht="28.5" customHeight="1">
      <c r="E18" s="201"/>
      <c r="F18" s="202"/>
      <c r="G18" s="291"/>
      <c r="H18" s="203">
        <v>5</v>
      </c>
      <c r="I18" s="203">
        <v>30</v>
      </c>
    </row>
    <row r="19" spans="5:9" ht="28.5" customHeight="1">
      <c r="E19" s="201"/>
      <c r="F19" s="202"/>
      <c r="G19" s="288"/>
      <c r="H19" s="301">
        <v>6</v>
      </c>
      <c r="I19" s="203">
        <v>32</v>
      </c>
    </row>
    <row r="20" spans="5:9" ht="28.5" customHeight="1">
      <c r="E20" s="201"/>
      <c r="F20" s="202"/>
      <c r="G20" s="205" t="s">
        <v>367</v>
      </c>
      <c r="H20" s="302"/>
      <c r="I20" s="203">
        <v>14</v>
      </c>
    </row>
    <row r="21" spans="5:9" ht="28.5" customHeight="1">
      <c r="E21" s="201"/>
      <c r="F21" s="202"/>
      <c r="G21" s="205" t="s">
        <v>366</v>
      </c>
      <c r="H21" s="204">
        <v>7</v>
      </c>
      <c r="I21" s="203">
        <v>30</v>
      </c>
    </row>
    <row r="22" spans="5:9" ht="28.5" customHeight="1">
      <c r="E22" s="201"/>
      <c r="F22" s="202"/>
      <c r="G22" s="287" t="s">
        <v>368</v>
      </c>
      <c r="H22" s="203">
        <v>8</v>
      </c>
      <c r="I22" s="203">
        <v>40</v>
      </c>
    </row>
    <row r="23" spans="5:9" ht="28.5" customHeight="1">
      <c r="E23" s="201"/>
      <c r="F23" s="202"/>
      <c r="G23" s="291"/>
      <c r="H23" s="204">
        <v>9</v>
      </c>
      <c r="I23" s="203">
        <v>40</v>
      </c>
    </row>
    <row r="24" spans="5:9" ht="28.5" customHeight="1">
      <c r="E24" s="201"/>
      <c r="F24" s="202"/>
      <c r="G24" s="288"/>
      <c r="H24" s="203">
        <v>10</v>
      </c>
      <c r="I24" s="203">
        <v>30</v>
      </c>
    </row>
    <row r="25" spans="5:9" ht="28.5" customHeight="1">
      <c r="F25" s="199"/>
      <c r="G25" s="287" t="s">
        <v>369</v>
      </c>
      <c r="H25" s="204">
        <v>11</v>
      </c>
      <c r="I25" s="203">
        <v>40</v>
      </c>
    </row>
    <row r="26" spans="5:9" ht="28.5" customHeight="1">
      <c r="F26" s="199"/>
      <c r="G26" s="288"/>
      <c r="H26" s="203">
        <v>12</v>
      </c>
      <c r="I26" s="203">
        <v>40</v>
      </c>
    </row>
    <row r="27" spans="5:9" ht="28.5" customHeight="1">
      <c r="F27" s="199"/>
      <c r="G27" s="205" t="s">
        <v>368</v>
      </c>
      <c r="H27" s="204">
        <v>13</v>
      </c>
      <c r="I27" s="203">
        <v>39</v>
      </c>
    </row>
    <row r="28" spans="5:9" ht="28.5" customHeight="1">
      <c r="F28" s="199"/>
      <c r="G28" s="205" t="s">
        <v>370</v>
      </c>
      <c r="H28" s="289">
        <v>14</v>
      </c>
      <c r="I28" s="203">
        <v>10</v>
      </c>
    </row>
    <row r="29" spans="5:9" ht="28.5" customHeight="1">
      <c r="F29" s="199"/>
      <c r="G29" s="205" t="s">
        <v>369</v>
      </c>
      <c r="H29" s="290"/>
      <c r="I29" s="203">
        <v>32</v>
      </c>
    </row>
    <row r="30" spans="5:9" ht="28.5" customHeight="1">
      <c r="F30" s="199"/>
      <c r="G30" s="287" t="s">
        <v>371</v>
      </c>
      <c r="H30" s="203">
        <v>15</v>
      </c>
      <c r="I30" s="203">
        <v>40</v>
      </c>
    </row>
    <row r="31" spans="5:9" ht="28.5" customHeight="1">
      <c r="F31" s="199"/>
      <c r="G31" s="291"/>
      <c r="H31" s="204">
        <v>16</v>
      </c>
      <c r="I31" s="203">
        <v>40</v>
      </c>
    </row>
    <row r="32" spans="5:9" ht="28.5" customHeight="1">
      <c r="F32" s="199"/>
      <c r="G32" s="291"/>
      <c r="H32" s="203">
        <v>17</v>
      </c>
      <c r="I32" s="203">
        <v>40</v>
      </c>
    </row>
    <row r="33" spans="6:9" ht="28.5" customHeight="1">
      <c r="F33" s="199"/>
      <c r="G33" s="291"/>
      <c r="H33" s="204">
        <v>18</v>
      </c>
      <c r="I33" s="203">
        <v>40</v>
      </c>
    </row>
    <row r="34" spans="6:9" ht="28.5" customHeight="1">
      <c r="F34" s="199"/>
      <c r="G34" s="291"/>
      <c r="H34" s="203">
        <v>19</v>
      </c>
      <c r="I34" s="203">
        <v>30</v>
      </c>
    </row>
    <row r="35" spans="6:9" ht="28.5" customHeight="1">
      <c r="F35" s="199"/>
      <c r="G35" s="288"/>
      <c r="H35" s="204">
        <v>20</v>
      </c>
      <c r="I35" s="203">
        <v>30</v>
      </c>
    </row>
    <row r="36" spans="6:9" ht="28.5" customHeight="1">
      <c r="F36" s="199"/>
      <c r="G36" s="287" t="s">
        <v>367</v>
      </c>
      <c r="H36" s="203">
        <v>21</v>
      </c>
      <c r="I36" s="203">
        <v>30</v>
      </c>
    </row>
    <row r="37" spans="6:9" ht="28.5" customHeight="1">
      <c r="F37" s="199"/>
      <c r="G37" s="291"/>
      <c r="H37" s="204">
        <v>22</v>
      </c>
      <c r="I37" s="203">
        <v>30</v>
      </c>
    </row>
    <row r="38" spans="6:9" ht="28.5" customHeight="1">
      <c r="F38" s="199"/>
      <c r="G38" s="291"/>
      <c r="H38" s="203">
        <v>23</v>
      </c>
      <c r="I38" s="203">
        <v>30</v>
      </c>
    </row>
    <row r="39" spans="6:9" ht="28.5" customHeight="1">
      <c r="F39" s="199"/>
      <c r="G39" s="288"/>
      <c r="H39" s="204">
        <v>24</v>
      </c>
      <c r="I39" s="203">
        <v>30</v>
      </c>
    </row>
    <row r="40" spans="6:9" ht="28.5" customHeight="1">
      <c r="F40" s="199"/>
      <c r="G40" s="205" t="s">
        <v>366</v>
      </c>
      <c r="H40" s="289">
        <v>25</v>
      </c>
      <c r="I40" s="203">
        <v>1</v>
      </c>
    </row>
    <row r="41" spans="6:9" ht="28.5" customHeight="1">
      <c r="F41" s="199"/>
      <c r="G41" s="205" t="s">
        <v>371</v>
      </c>
      <c r="H41" s="292"/>
      <c r="I41" s="203">
        <v>10</v>
      </c>
    </row>
    <row r="42" spans="6:9" ht="28.5" customHeight="1">
      <c r="F42" s="199"/>
      <c r="G42" s="205" t="s">
        <v>372</v>
      </c>
      <c r="H42" s="292"/>
      <c r="I42" s="203">
        <v>1</v>
      </c>
    </row>
    <row r="43" spans="6:9" ht="28.5" customHeight="1">
      <c r="F43" s="199"/>
      <c r="G43" s="205" t="s">
        <v>373</v>
      </c>
      <c r="H43" s="290"/>
      <c r="I43" s="203">
        <v>1</v>
      </c>
    </row>
    <row r="44" spans="6:9" ht="28.5" hidden="1" customHeight="1">
      <c r="F44" s="199"/>
      <c r="G44" s="205"/>
      <c r="H44" s="203"/>
      <c r="I44" s="203"/>
    </row>
    <row r="45" spans="6:9" ht="28.5" hidden="1" customHeight="1">
      <c r="F45" s="199"/>
      <c r="G45" s="205"/>
      <c r="H45" s="204"/>
      <c r="I45" s="203"/>
    </row>
    <row r="46" spans="6:9" ht="28.5" hidden="1" customHeight="1">
      <c r="F46" s="199"/>
      <c r="G46" s="206"/>
      <c r="H46" s="203"/>
      <c r="I46" s="203"/>
    </row>
    <row r="47" spans="6:9" ht="30.75" customHeight="1">
      <c r="F47" s="199"/>
      <c r="G47" s="207" t="s">
        <v>374</v>
      </c>
      <c r="H47" s="208">
        <f>H40</f>
        <v>25</v>
      </c>
      <c r="I47" s="209">
        <f>SUM(I14:I43)</f>
        <v>880</v>
      </c>
    </row>
  </sheetData>
  <mergeCells count="18">
    <mergeCell ref="G22:G24"/>
    <mergeCell ref="Q4:Q6"/>
    <mergeCell ref="A7:A9"/>
    <mergeCell ref="D10:E10"/>
    <mergeCell ref="G12:I12"/>
    <mergeCell ref="G14:G19"/>
    <mergeCell ref="H19:H20"/>
    <mergeCell ref="A4:C5"/>
    <mergeCell ref="D4:D6"/>
    <mergeCell ref="F4:M5"/>
    <mergeCell ref="N4:N6"/>
    <mergeCell ref="O4:O6"/>
    <mergeCell ref="P4:P6"/>
    <mergeCell ref="G25:G26"/>
    <mergeCell ref="H28:H29"/>
    <mergeCell ref="G30:G35"/>
    <mergeCell ref="G36:G39"/>
    <mergeCell ref="H40:H43"/>
  </mergeCells>
  <pageMargins left="0.2" right="0.2" top="0.16" bottom="0.24" header="0.3" footer="0.3"/>
  <pageSetup paperSize="9" scale="30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0"/>
  <sheetViews>
    <sheetView zoomScale="80" zoomScaleNormal="80" zoomScaleSheetLayoutView="73" workbookViewId="0">
      <pane xSplit="5" ySplit="15" topLeftCell="F16" activePane="bottomRight" state="frozen"/>
      <selection activeCell="T18" sqref="T18"/>
      <selection pane="topRight" activeCell="T18" sqref="T18"/>
      <selection pane="bottomLeft" activeCell="T18" sqref="T18"/>
      <selection pane="bottomRight" activeCell="T18" sqref="T18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6" width="7" style="73" customWidth="1"/>
    <col min="7" max="7" width="24.28515625" style="73" customWidth="1"/>
    <col min="8" max="8" width="7" style="73" customWidth="1"/>
    <col min="9" max="9" width="9.28515625" style="73" customWidth="1"/>
    <col min="10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319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O20</f>
        <v>489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303</v>
      </c>
      <c r="G14" s="227" t="s">
        <v>308</v>
      </c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9" si="0">+A16+D16-1</f>
        <v>1</v>
      </c>
      <c r="D16" s="27">
        <f t="shared" ref="D16:D19" si="1">+O16/N16</f>
        <v>1</v>
      </c>
      <c r="E16" s="83" t="str">
        <f>+$D$7</f>
        <v>Men's Vest (ghile)</v>
      </c>
      <c r="F16" s="31">
        <v>129</v>
      </c>
      <c r="G16" s="31"/>
      <c r="H16" s="31"/>
      <c r="I16" s="31"/>
      <c r="J16" s="31"/>
      <c r="K16" s="30"/>
      <c r="L16" s="30"/>
      <c r="M16" s="30"/>
      <c r="N16" s="28">
        <f t="shared" ref="N16:N19" si="2">+SUM(F16:M16)</f>
        <v>129</v>
      </c>
      <c r="O16" s="28">
        <v>129</v>
      </c>
      <c r="P16" s="99"/>
      <c r="Q16" s="99"/>
      <c r="R16" s="105"/>
      <c r="S16" s="35"/>
      <c r="T16" s="82">
        <f>+ROUND(D16*U16*V16*W16/1000000,3)</f>
        <v>0.16200000000000001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2</v>
      </c>
      <c r="B17" s="28" t="s">
        <v>32</v>
      </c>
      <c r="C17" s="27">
        <f t="shared" si="0"/>
        <v>4</v>
      </c>
      <c r="D17" s="27">
        <f t="shared" si="1"/>
        <v>3</v>
      </c>
      <c r="E17" s="83" t="str">
        <f t="shared" ref="E17:E19" si="3">+$D$7</f>
        <v>Men's Vest (ghile)</v>
      </c>
      <c r="F17" s="31">
        <v>120</v>
      </c>
      <c r="G17" s="31"/>
      <c r="H17" s="31"/>
      <c r="I17" s="31"/>
      <c r="J17" s="31"/>
      <c r="K17" s="30"/>
      <c r="L17" s="30"/>
      <c r="M17" s="30"/>
      <c r="N17" s="28">
        <f t="shared" si="2"/>
        <v>120</v>
      </c>
      <c r="O17" s="28">
        <v>360</v>
      </c>
      <c r="P17" s="124"/>
      <c r="Q17" s="124"/>
      <c r="R17" s="125"/>
      <c r="S17" s="126"/>
      <c r="T17" s="82">
        <f>+ROUND(D17*U17*V17*W17/1000000,3)</f>
        <v>0.48599999999999999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7.75" hidden="1" customHeight="1">
      <c r="A18" s="27">
        <f t="shared" ref="A18:A19" si="4">+C17+1</f>
        <v>5</v>
      </c>
      <c r="B18" s="28" t="s">
        <v>32</v>
      </c>
      <c r="C18" s="27">
        <f t="shared" si="0"/>
        <v>4</v>
      </c>
      <c r="D18" s="27">
        <f t="shared" si="1"/>
        <v>0</v>
      </c>
      <c r="E18" s="83" t="str">
        <f t="shared" si="3"/>
        <v>Men's Vest (ghile)</v>
      </c>
      <c r="F18" s="31"/>
      <c r="G18" s="31">
        <v>100</v>
      </c>
      <c r="H18" s="31"/>
      <c r="I18" s="31"/>
      <c r="J18" s="31"/>
      <c r="K18" s="30"/>
      <c r="L18" s="30"/>
      <c r="M18" s="30"/>
      <c r="N18" s="28">
        <f t="shared" si="2"/>
        <v>100</v>
      </c>
      <c r="O18" s="88">
        <v>0</v>
      </c>
      <c r="P18" s="99"/>
      <c r="Q18" s="99"/>
      <c r="R18" s="105"/>
      <c r="S18" s="35"/>
      <c r="T18" s="82">
        <f>+ROUND(D18*U18*V18*W18/1000000,3)</f>
        <v>0</v>
      </c>
      <c r="U18" s="94">
        <v>76</v>
      </c>
      <c r="V18" s="94">
        <v>46</v>
      </c>
      <c r="W18" s="94">
        <v>36</v>
      </c>
      <c r="X18" s="109" t="s">
        <v>320</v>
      </c>
    </row>
    <row r="19" spans="1:27" s="42" customFormat="1" ht="27.75" hidden="1" customHeight="1">
      <c r="A19" s="27">
        <f t="shared" si="4"/>
        <v>5</v>
      </c>
      <c r="B19" s="28" t="s">
        <v>32</v>
      </c>
      <c r="C19" s="27">
        <f t="shared" si="0"/>
        <v>4</v>
      </c>
      <c r="D19" s="27">
        <f t="shared" si="1"/>
        <v>0</v>
      </c>
      <c r="E19" s="83" t="str">
        <f t="shared" si="3"/>
        <v>Men's Vest (ghile)</v>
      </c>
      <c r="F19" s="31"/>
      <c r="G19" s="210">
        <v>31</v>
      </c>
      <c r="H19" s="210">
        <v>49</v>
      </c>
      <c r="I19" s="31"/>
      <c r="J19" s="31"/>
      <c r="K19" s="30"/>
      <c r="L19" s="30"/>
      <c r="M19" s="30"/>
      <c r="N19" s="28">
        <f t="shared" si="2"/>
        <v>80</v>
      </c>
      <c r="O19" s="88">
        <v>0</v>
      </c>
      <c r="P19" s="99"/>
      <c r="Q19" s="99"/>
      <c r="R19" s="105"/>
      <c r="S19" s="35"/>
      <c r="T19" s="82">
        <f>+ROUND(D19*U19*V19*W19/1000000,3)</f>
        <v>0</v>
      </c>
      <c r="U19" s="94">
        <v>76</v>
      </c>
      <c r="V19" s="94">
        <v>46</v>
      </c>
      <c r="W19" s="94">
        <v>36</v>
      </c>
      <c r="X19" s="109" t="s">
        <v>320</v>
      </c>
    </row>
    <row r="20" spans="1:27" s="42" customFormat="1" ht="24" customHeight="1">
      <c r="A20" s="219" t="s">
        <v>33</v>
      </c>
      <c r="B20" s="220"/>
      <c r="C20" s="221"/>
      <c r="D20" s="44">
        <f>SUM(D16:D19)</f>
        <v>4</v>
      </c>
      <c r="E20" s="45"/>
      <c r="F20" s="47"/>
      <c r="G20" s="47"/>
      <c r="H20" s="47"/>
      <c r="I20" s="47"/>
      <c r="J20" s="47"/>
      <c r="K20" s="47"/>
      <c r="L20" s="47"/>
      <c r="M20" s="47"/>
      <c r="N20" s="48"/>
      <c r="O20" s="44">
        <f>SUM(O16:O19)</f>
        <v>489</v>
      </c>
      <c r="P20" s="49"/>
      <c r="Q20" s="49"/>
      <c r="R20" s="51">
        <f>SUM(R16:R19)</f>
        <v>0</v>
      </c>
      <c r="S20" s="51">
        <f>SUM(S16:S19)</f>
        <v>0</v>
      </c>
      <c r="T20" s="51">
        <f>SUM(T16:T19)</f>
        <v>0.64800000000000002</v>
      </c>
      <c r="U20" s="52"/>
      <c r="V20" s="3"/>
      <c r="W20" s="53"/>
      <c r="X20" s="8"/>
      <c r="AA20" s="110"/>
    </row>
    <row r="21" spans="1:27" s="42" customFormat="1" ht="12.75" customHeight="1">
      <c r="A21" s="54"/>
      <c r="B21" s="22"/>
      <c r="C21" s="22"/>
      <c r="D21" s="55"/>
      <c r="E21" s="55"/>
      <c r="F21" s="54"/>
      <c r="G21" s="54"/>
      <c r="H21" s="54"/>
      <c r="I21" s="54"/>
      <c r="J21" s="54"/>
      <c r="K21" s="54"/>
      <c r="L21" s="54"/>
      <c r="M21" s="54"/>
      <c r="N21" s="56"/>
      <c r="O21" s="57"/>
      <c r="P21" s="22"/>
      <c r="Q21" s="22"/>
      <c r="R21" s="57"/>
      <c r="S21" s="57"/>
      <c r="T21" s="58"/>
      <c r="U21" s="3"/>
      <c r="V21" s="3"/>
      <c r="W21" s="53"/>
      <c r="X21" s="8"/>
    </row>
    <row r="22" spans="1:27">
      <c r="G22" s="150"/>
      <c r="I22" s="150"/>
      <c r="O22" s="77"/>
      <c r="S22" s="74"/>
    </row>
    <row r="23" spans="1:27">
      <c r="I23" s="150"/>
      <c r="O23" s="150"/>
    </row>
    <row r="25" spans="1:27">
      <c r="O25" s="75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O28" s="76"/>
      <c r="P28" s="76"/>
      <c r="Q28" s="76"/>
      <c r="R28" s="76"/>
    </row>
    <row r="29" spans="1:27">
      <c r="O29" s="76"/>
      <c r="P29" s="76"/>
      <c r="Q29" s="76"/>
      <c r="R29" s="76"/>
    </row>
    <row r="30" spans="1:27">
      <c r="P30" s="76"/>
      <c r="Q30" s="76"/>
      <c r="R30" s="76"/>
    </row>
  </sheetData>
  <autoFilter ref="A15:CY19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20:C20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4"/>
  <sheetViews>
    <sheetView view="pageBreakPreview" zoomScale="73" zoomScaleNormal="80" zoomScaleSheetLayoutView="73" workbookViewId="0">
      <pane xSplit="5" ySplit="15" topLeftCell="F16" activePane="bottomRight" state="frozen"/>
      <selection activeCell="T18" sqref="T18"/>
      <selection pane="topRight" activeCell="T18" sqref="T18"/>
      <selection pane="bottomLeft" activeCell="T18" sqref="T18"/>
      <selection pane="bottomRight" activeCell="T18" sqref="T18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302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O24</f>
        <v>778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304</v>
      </c>
      <c r="G14" s="227" t="s">
        <v>303</v>
      </c>
      <c r="H14" s="227" t="s">
        <v>305</v>
      </c>
      <c r="I14" s="227" t="s">
        <v>306</v>
      </c>
      <c r="J14" s="227" t="s">
        <v>307</v>
      </c>
      <c r="K14" s="227" t="s">
        <v>308</v>
      </c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22" si="0">+A16+D16-1</f>
        <v>14</v>
      </c>
      <c r="D16" s="27">
        <f t="shared" ref="D16:D22" si="1">+O16/N16</f>
        <v>14</v>
      </c>
      <c r="E16" s="83" t="str">
        <f>+$D$7</f>
        <v>Men's Coat</v>
      </c>
      <c r="F16" s="31"/>
      <c r="G16" s="31"/>
      <c r="H16" s="31"/>
      <c r="I16" s="31">
        <v>10</v>
      </c>
      <c r="J16" s="31"/>
      <c r="K16" s="30"/>
      <c r="L16" s="30"/>
      <c r="M16" s="30"/>
      <c r="N16" s="28">
        <f t="shared" ref="N16:N22" si="2">+SUM(F16:M16)</f>
        <v>10</v>
      </c>
      <c r="O16" s="28">
        <v>140</v>
      </c>
      <c r="P16" s="99"/>
      <c r="Q16" s="99"/>
      <c r="R16" s="105"/>
      <c r="S16" s="35"/>
      <c r="T16" s="82">
        <f t="shared" ref="T16:T23" si="3">+ROUND(D16*U16*V16*W16/1000000,3)</f>
        <v>2.2679999999999998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15</v>
      </c>
      <c r="B17" s="28" t="s">
        <v>32</v>
      </c>
      <c r="C17" s="27">
        <f t="shared" si="0"/>
        <v>27</v>
      </c>
      <c r="D17" s="27">
        <f t="shared" si="1"/>
        <v>13</v>
      </c>
      <c r="E17" s="83" t="str">
        <f t="shared" ref="E17:E23" si="4">+$D$7</f>
        <v>Men's Coat</v>
      </c>
      <c r="F17" s="31"/>
      <c r="G17" s="31">
        <v>10</v>
      </c>
      <c r="H17" s="31"/>
      <c r="I17" s="31"/>
      <c r="J17" s="31"/>
      <c r="K17" s="30"/>
      <c r="L17" s="30"/>
      <c r="M17" s="30"/>
      <c r="N17" s="28">
        <f t="shared" si="2"/>
        <v>10</v>
      </c>
      <c r="O17" s="28">
        <v>130</v>
      </c>
      <c r="P17" s="124"/>
      <c r="Q17" s="124"/>
      <c r="R17" s="125"/>
      <c r="S17" s="126"/>
      <c r="T17" s="82">
        <f t="shared" si="3"/>
        <v>2.1059999999999999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7.75" customHeight="1">
      <c r="A18" s="27">
        <f t="shared" ref="A18:A21" si="5">+C17+1</f>
        <v>28</v>
      </c>
      <c r="B18" s="28" t="s">
        <v>32</v>
      </c>
      <c r="C18" s="27">
        <f t="shared" si="0"/>
        <v>28</v>
      </c>
      <c r="D18" s="27">
        <f t="shared" si="1"/>
        <v>1</v>
      </c>
      <c r="E18" s="83" t="str">
        <f t="shared" si="4"/>
        <v>Men's Coat</v>
      </c>
      <c r="F18" s="31"/>
      <c r="G18" s="31">
        <v>8</v>
      </c>
      <c r="H18" s="31"/>
      <c r="I18" s="31"/>
      <c r="J18" s="31"/>
      <c r="K18" s="30"/>
      <c r="L18" s="30"/>
      <c r="M18" s="30"/>
      <c r="N18" s="28">
        <f t="shared" si="2"/>
        <v>8</v>
      </c>
      <c r="O18" s="28">
        <v>8</v>
      </c>
      <c r="P18" s="99"/>
      <c r="Q18" s="99"/>
      <c r="R18" s="105"/>
      <c r="S18" s="35"/>
      <c r="T18" s="82">
        <f t="shared" si="3"/>
        <v>0.16200000000000001</v>
      </c>
      <c r="U18" s="94">
        <v>90</v>
      </c>
      <c r="V18" s="94">
        <v>60</v>
      </c>
      <c r="W18" s="94">
        <v>30</v>
      </c>
      <c r="X18" s="109" t="s">
        <v>309</v>
      </c>
    </row>
    <row r="19" spans="1:27" s="42" customFormat="1" ht="27.75" customHeight="1">
      <c r="A19" s="27">
        <f t="shared" si="5"/>
        <v>29</v>
      </c>
      <c r="B19" s="28" t="s">
        <v>32</v>
      </c>
      <c r="C19" s="27">
        <f t="shared" si="0"/>
        <v>54</v>
      </c>
      <c r="D19" s="27">
        <f t="shared" si="1"/>
        <v>26</v>
      </c>
      <c r="E19" s="83" t="str">
        <f t="shared" si="4"/>
        <v>Men's Coat</v>
      </c>
      <c r="F19" s="31"/>
      <c r="G19" s="31"/>
      <c r="H19" s="31">
        <v>10</v>
      </c>
      <c r="I19" s="31"/>
      <c r="J19" s="31"/>
      <c r="K19" s="30"/>
      <c r="L19" s="30"/>
      <c r="M19" s="30"/>
      <c r="N19" s="28">
        <f t="shared" si="2"/>
        <v>10</v>
      </c>
      <c r="O19" s="28">
        <v>260</v>
      </c>
      <c r="P19" s="99"/>
      <c r="Q19" s="99"/>
      <c r="R19" s="105"/>
      <c r="S19" s="35"/>
      <c r="T19" s="82">
        <f t="shared" si="3"/>
        <v>4.2119999999999997</v>
      </c>
      <c r="U19" s="94">
        <v>90</v>
      </c>
      <c r="V19" s="94">
        <v>60</v>
      </c>
      <c r="W19" s="94">
        <v>30</v>
      </c>
      <c r="X19" s="109" t="s">
        <v>309</v>
      </c>
    </row>
    <row r="20" spans="1:27" s="42" customFormat="1" ht="27.75" customHeight="1">
      <c r="A20" s="27">
        <f t="shared" si="5"/>
        <v>55</v>
      </c>
      <c r="B20" s="28" t="s">
        <v>32</v>
      </c>
      <c r="C20" s="27">
        <f t="shared" si="0"/>
        <v>64</v>
      </c>
      <c r="D20" s="27">
        <f t="shared" si="1"/>
        <v>10</v>
      </c>
      <c r="E20" s="83" t="str">
        <f t="shared" si="4"/>
        <v>Men's Coat</v>
      </c>
      <c r="F20" s="31"/>
      <c r="G20" s="31"/>
      <c r="H20" s="31"/>
      <c r="I20" s="31"/>
      <c r="J20" s="31">
        <v>10</v>
      </c>
      <c r="K20" s="31"/>
      <c r="L20" s="30"/>
      <c r="M20" s="30"/>
      <c r="N20" s="28">
        <f t="shared" si="2"/>
        <v>10</v>
      </c>
      <c r="O20" s="28">
        <v>100</v>
      </c>
      <c r="P20" s="99"/>
      <c r="Q20" s="99"/>
      <c r="R20" s="105"/>
      <c r="S20" s="35"/>
      <c r="T20" s="82">
        <f t="shared" si="3"/>
        <v>1.62</v>
      </c>
      <c r="U20" s="94">
        <v>90</v>
      </c>
      <c r="V20" s="94">
        <v>60</v>
      </c>
      <c r="W20" s="94">
        <v>30</v>
      </c>
      <c r="X20" s="109" t="s">
        <v>309</v>
      </c>
    </row>
    <row r="21" spans="1:27" s="42" customFormat="1" ht="27.75" customHeight="1">
      <c r="A21" s="27">
        <f t="shared" si="5"/>
        <v>65</v>
      </c>
      <c r="B21" s="28" t="s">
        <v>32</v>
      </c>
      <c r="C21" s="27">
        <f t="shared" si="0"/>
        <v>78</v>
      </c>
      <c r="D21" s="27">
        <f t="shared" si="1"/>
        <v>14</v>
      </c>
      <c r="E21" s="83" t="str">
        <f t="shared" si="4"/>
        <v>Men's Coat</v>
      </c>
      <c r="F21" s="31">
        <v>10</v>
      </c>
      <c r="G21" s="31"/>
      <c r="H21" s="31"/>
      <c r="I21" s="31"/>
      <c r="J21" s="31"/>
      <c r="K21" s="31"/>
      <c r="L21" s="30"/>
      <c r="M21" s="30"/>
      <c r="N21" s="28">
        <f t="shared" si="2"/>
        <v>10</v>
      </c>
      <c r="O21" s="28">
        <v>140</v>
      </c>
      <c r="P21" s="99"/>
      <c r="Q21" s="99"/>
      <c r="R21" s="105"/>
      <c r="S21" s="35"/>
      <c r="T21" s="82">
        <f t="shared" si="3"/>
        <v>2.2679999999999998</v>
      </c>
      <c r="U21" s="94">
        <v>90</v>
      </c>
      <c r="V21" s="94">
        <v>60</v>
      </c>
      <c r="W21" s="94">
        <v>30</v>
      </c>
      <c r="X21" s="109" t="s">
        <v>309</v>
      </c>
    </row>
    <row r="22" spans="1:27" s="42" customFormat="1" ht="27.75" hidden="1" customHeight="1">
      <c r="A22" s="27">
        <f>+C21+1</f>
        <v>79</v>
      </c>
      <c r="B22" s="28" t="s">
        <v>32</v>
      </c>
      <c r="C22" s="27">
        <f t="shared" si="0"/>
        <v>78</v>
      </c>
      <c r="D22" s="27">
        <f t="shared" si="1"/>
        <v>0</v>
      </c>
      <c r="E22" s="83" t="str">
        <f t="shared" si="4"/>
        <v>Men's Coat</v>
      </c>
      <c r="F22" s="31"/>
      <c r="G22" s="31"/>
      <c r="H22" s="31"/>
      <c r="I22" s="31"/>
      <c r="J22" s="31"/>
      <c r="K22" s="31">
        <v>10</v>
      </c>
      <c r="L22" s="31"/>
      <c r="M22" s="30"/>
      <c r="N22" s="28">
        <f t="shared" si="2"/>
        <v>10</v>
      </c>
      <c r="O22" s="28">
        <v>0</v>
      </c>
      <c r="P22" s="99"/>
      <c r="Q22" s="99"/>
      <c r="R22" s="105"/>
      <c r="S22" s="35"/>
      <c r="T22" s="82">
        <f t="shared" si="3"/>
        <v>0</v>
      </c>
      <c r="U22" s="94">
        <v>90</v>
      </c>
      <c r="V22" s="94">
        <v>60</v>
      </c>
      <c r="W22" s="94">
        <v>30</v>
      </c>
      <c r="X22" s="109" t="s">
        <v>309</v>
      </c>
    </row>
    <row r="23" spans="1:27" s="42" customFormat="1" ht="27.75" hidden="1" customHeight="1">
      <c r="A23" s="27">
        <f>+C22+1</f>
        <v>79</v>
      </c>
      <c r="B23" s="28" t="s">
        <v>32</v>
      </c>
      <c r="C23" s="27">
        <f t="shared" ref="C23" si="6">+A23+D23-1</f>
        <v>78</v>
      </c>
      <c r="D23" s="27">
        <f t="shared" ref="D23" si="7">+O23/N23</f>
        <v>0</v>
      </c>
      <c r="E23" s="83" t="str">
        <f t="shared" si="4"/>
        <v>Men's Coat</v>
      </c>
      <c r="F23" s="31"/>
      <c r="G23" s="31"/>
      <c r="H23" s="31"/>
      <c r="I23" s="31"/>
      <c r="J23" s="31"/>
      <c r="K23" s="31">
        <v>11</v>
      </c>
      <c r="L23" s="31"/>
      <c r="M23" s="30"/>
      <c r="N23" s="28">
        <f t="shared" ref="N23" si="8">+SUM(F23:M23)</f>
        <v>11</v>
      </c>
      <c r="O23" s="28">
        <v>0</v>
      </c>
      <c r="P23" s="99"/>
      <c r="Q23" s="99"/>
      <c r="R23" s="105"/>
      <c r="S23" s="35"/>
      <c r="T23" s="82">
        <f t="shared" si="3"/>
        <v>0</v>
      </c>
      <c r="U23" s="94">
        <v>90</v>
      </c>
      <c r="V23" s="94">
        <v>60</v>
      </c>
      <c r="W23" s="94">
        <v>30</v>
      </c>
      <c r="X23" s="109" t="s">
        <v>309</v>
      </c>
    </row>
    <row r="24" spans="1:27" s="42" customFormat="1" ht="24" customHeight="1">
      <c r="A24" s="219" t="s">
        <v>33</v>
      </c>
      <c r="B24" s="220"/>
      <c r="C24" s="221"/>
      <c r="D24" s="44">
        <f>SUM(D16:D23)</f>
        <v>78</v>
      </c>
      <c r="E24" s="45"/>
      <c r="F24" s="47"/>
      <c r="G24" s="47"/>
      <c r="H24" s="47"/>
      <c r="I24" s="47"/>
      <c r="J24" s="47"/>
      <c r="K24" s="47"/>
      <c r="L24" s="47"/>
      <c r="M24" s="47"/>
      <c r="N24" s="48"/>
      <c r="O24" s="44">
        <f>SUM(O16:O23)</f>
        <v>778</v>
      </c>
      <c r="P24" s="49"/>
      <c r="Q24" s="49"/>
      <c r="R24" s="51">
        <f>SUM(R16:R23)</f>
        <v>0</v>
      </c>
      <c r="S24" s="51">
        <f t="shared" ref="S24:T24" si="9">SUM(S16:S23)</f>
        <v>0</v>
      </c>
      <c r="T24" s="51">
        <f t="shared" si="9"/>
        <v>12.635999999999999</v>
      </c>
      <c r="U24" s="52"/>
      <c r="V24" s="3"/>
      <c r="W24" s="53"/>
      <c r="X24" s="8"/>
      <c r="AA24" s="110"/>
    </row>
    <row r="25" spans="1:27" s="42" customFormat="1" ht="12.75" customHeight="1">
      <c r="A25" s="54"/>
      <c r="B25" s="22"/>
      <c r="C25" s="22"/>
      <c r="D25" s="55"/>
      <c r="E25" s="55"/>
      <c r="F25" s="54"/>
      <c r="G25" s="54"/>
      <c r="H25" s="54"/>
      <c r="I25" s="54"/>
      <c r="J25" s="54"/>
      <c r="K25" s="54"/>
      <c r="L25" s="54"/>
      <c r="M25" s="54"/>
      <c r="N25" s="56"/>
      <c r="O25" s="57"/>
      <c r="P25" s="22"/>
      <c r="Q25" s="22"/>
      <c r="R25" s="57"/>
      <c r="S25" s="57"/>
      <c r="T25" s="58"/>
      <c r="U25" s="3"/>
      <c r="V25" s="3"/>
      <c r="W25" s="53"/>
      <c r="X25" s="8"/>
    </row>
    <row r="26" spans="1:27">
      <c r="S26" s="74"/>
    </row>
    <row r="29" spans="1:27">
      <c r="O29" s="75"/>
      <c r="P29" s="76"/>
      <c r="Q29" s="76"/>
      <c r="R29" s="76"/>
    </row>
    <row r="30" spans="1:27">
      <c r="O30" s="76"/>
      <c r="P30" s="76"/>
      <c r="Q30" s="76"/>
      <c r="R30" s="76"/>
    </row>
    <row r="31" spans="1:27">
      <c r="O31" s="76"/>
      <c r="P31" s="76"/>
      <c r="Q31" s="76"/>
      <c r="R31" s="76"/>
    </row>
    <row r="32" spans="1:27">
      <c r="O32" s="76"/>
      <c r="P32" s="76"/>
      <c r="Q32" s="76"/>
      <c r="R32" s="76"/>
    </row>
    <row r="33" spans="15:18">
      <c r="O33" s="76"/>
      <c r="P33" s="76"/>
      <c r="Q33" s="76"/>
      <c r="R33" s="76"/>
    </row>
    <row r="34" spans="15:18">
      <c r="P34" s="76"/>
      <c r="Q34" s="76"/>
      <c r="R34" s="76"/>
    </row>
  </sheetData>
  <autoFilter ref="A15:CY20">
    <filterColumn colId="0" showButton="0"/>
    <filterColumn colId="1" showButton="0"/>
  </autoFilter>
  <mergeCells count="25">
    <mergeCell ref="A1:W1"/>
    <mergeCell ref="A2:W2"/>
    <mergeCell ref="A3:W3"/>
    <mergeCell ref="A4:W4"/>
    <mergeCell ref="A6:W6"/>
    <mergeCell ref="D10:E10"/>
    <mergeCell ref="C12:D12"/>
    <mergeCell ref="A13:C15"/>
    <mergeCell ref="D13:D15"/>
    <mergeCell ref="E13:E15"/>
    <mergeCell ref="A24:C24"/>
    <mergeCell ref="T13:T15"/>
    <mergeCell ref="U13:W14"/>
    <mergeCell ref="X13:X15"/>
    <mergeCell ref="K14:K15"/>
    <mergeCell ref="F13:M13"/>
    <mergeCell ref="N13:N15"/>
    <mergeCell ref="O13:O15"/>
    <mergeCell ref="L14:L15"/>
    <mergeCell ref="M14:M15"/>
    <mergeCell ref="F14:F15"/>
    <mergeCell ref="G14:G15"/>
    <mergeCell ref="H14:H15"/>
    <mergeCell ref="I14:I15"/>
    <mergeCell ref="J14:J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T18" sqref="T18"/>
      <selection pane="topRight" activeCell="T18" sqref="T18"/>
      <selection pane="bottomLeft" activeCell="T18" sqref="T18"/>
      <selection pane="bottomRight" activeCell="T18" sqref="T18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314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176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313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7" si="0">+A16+D16-1</f>
        <v>1</v>
      </c>
      <c r="D16" s="27">
        <f t="shared" ref="D16:D17" si="1">+O16/N16</f>
        <v>1</v>
      </c>
      <c r="E16" s="83" t="str">
        <f>+$D$7</f>
        <v>Ladies Padding Jacket</v>
      </c>
      <c r="F16" s="31">
        <v>16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16</v>
      </c>
      <c r="O16" s="28">
        <v>16</v>
      </c>
      <c r="P16" s="99"/>
      <c r="Q16" s="99"/>
      <c r="R16" s="105"/>
      <c r="S16" s="35"/>
      <c r="T16" s="82">
        <f>+ROUND(D16*U16*V16*W16/1000000,3)</f>
        <v>0.16200000000000001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2</v>
      </c>
      <c r="B17" s="28" t="s">
        <v>32</v>
      </c>
      <c r="C17" s="27">
        <f t="shared" si="0"/>
        <v>9</v>
      </c>
      <c r="D17" s="27">
        <f t="shared" si="1"/>
        <v>8</v>
      </c>
      <c r="E17" s="83" t="str">
        <f t="shared" ref="E17" si="3">+$D$7</f>
        <v>Ladies Padding Jacket</v>
      </c>
      <c r="F17" s="31">
        <v>20</v>
      </c>
      <c r="G17" s="31"/>
      <c r="H17" s="31"/>
      <c r="I17" s="31"/>
      <c r="J17" s="31"/>
      <c r="K17" s="30"/>
      <c r="L17" s="30"/>
      <c r="M17" s="30"/>
      <c r="N17" s="28">
        <f t="shared" si="2"/>
        <v>20</v>
      </c>
      <c r="O17" s="28">
        <v>160</v>
      </c>
      <c r="P17" s="124"/>
      <c r="Q17" s="124"/>
      <c r="R17" s="125"/>
      <c r="S17" s="126"/>
      <c r="T17" s="82">
        <f>+ROUND(D17*U17*V17*W17/1000000,3)</f>
        <v>1.296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4" customHeight="1">
      <c r="A18" s="219" t="s">
        <v>33</v>
      </c>
      <c r="B18" s="220"/>
      <c r="C18" s="221"/>
      <c r="D18" s="44">
        <f>SUM(D16:D17)</f>
        <v>9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176</v>
      </c>
      <c r="P18" s="49"/>
      <c r="Q18" s="49"/>
      <c r="R18" s="51">
        <f>SUM(R16:R17)</f>
        <v>0</v>
      </c>
      <c r="S18" s="51">
        <f>SUM(S16:S17)</f>
        <v>0</v>
      </c>
      <c r="T18" s="51">
        <f>SUM(T16:T17)</f>
        <v>1.458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7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18:C18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O19" sqref="O19"/>
      <selection pane="topRight" activeCell="O19" sqref="O19"/>
      <selection pane="bottomLeft" activeCell="O19" sqref="O19"/>
      <selection pane="bottomRight" activeCell="O19" sqref="O1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329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137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>
        <v>12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7" si="0">+A16+D16-1</f>
        <v>1</v>
      </c>
      <c r="D16" s="27">
        <f t="shared" ref="D16:D17" si="1">+O16/N16</f>
        <v>1</v>
      </c>
      <c r="E16" s="83" t="str">
        <f>+$D$7</f>
        <v>Ladies Vest</v>
      </c>
      <c r="F16" s="31">
        <v>37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37</v>
      </c>
      <c r="O16" s="28">
        <v>37</v>
      </c>
      <c r="P16" s="99"/>
      <c r="Q16" s="99"/>
      <c r="R16" s="105"/>
      <c r="S16" s="35"/>
      <c r="T16" s="82">
        <f>+ROUND(D16*U16*V16*W16/1000000,3)</f>
        <v>0.16200000000000001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2</v>
      </c>
      <c r="B17" s="28" t="s">
        <v>32</v>
      </c>
      <c r="C17" s="27">
        <f t="shared" si="0"/>
        <v>3</v>
      </c>
      <c r="D17" s="27">
        <f t="shared" si="1"/>
        <v>2</v>
      </c>
      <c r="E17" s="83" t="str">
        <f t="shared" ref="E17" si="3">+$D$7</f>
        <v>Ladies Vest</v>
      </c>
      <c r="F17" s="31">
        <v>50</v>
      </c>
      <c r="G17" s="31"/>
      <c r="H17" s="31"/>
      <c r="I17" s="31"/>
      <c r="J17" s="31"/>
      <c r="K17" s="30"/>
      <c r="L17" s="30"/>
      <c r="M17" s="30"/>
      <c r="N17" s="28">
        <f t="shared" si="2"/>
        <v>50</v>
      </c>
      <c r="O17" s="28">
        <v>100</v>
      </c>
      <c r="P17" s="124"/>
      <c r="Q17" s="124"/>
      <c r="R17" s="125"/>
      <c r="S17" s="126"/>
      <c r="T17" s="82">
        <f>+ROUND(D17*U17*V17*W17/1000000,3)</f>
        <v>0.32400000000000001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4" customHeight="1">
      <c r="A18" s="219" t="s">
        <v>33</v>
      </c>
      <c r="B18" s="220"/>
      <c r="C18" s="221"/>
      <c r="D18" s="44">
        <f>SUM(D16:D17)</f>
        <v>3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137</v>
      </c>
      <c r="P18" s="49"/>
      <c r="Q18" s="49"/>
      <c r="R18" s="51">
        <f>SUM(R16:R17)</f>
        <v>0</v>
      </c>
      <c r="S18" s="51">
        <f>SUM(S16:S17)</f>
        <v>0</v>
      </c>
      <c r="T18" s="51">
        <f>SUM(T16:T17)</f>
        <v>0.48599999999999999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7">
    <filterColumn colId="0" showButton="0"/>
    <filterColumn colId="1" showButton="0"/>
  </autoFilter>
  <mergeCells count="25">
    <mergeCell ref="A18:C18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O19" sqref="O19"/>
      <selection pane="topRight" activeCell="O19" sqref="O19"/>
      <selection pane="bottomLeft" activeCell="O19" sqref="O19"/>
      <selection pane="bottomRight" activeCell="O19" sqref="O1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5.1406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331</v>
      </c>
      <c r="E7" s="7"/>
    </row>
    <row r="8" spans="1:25" s="8" customFormat="1" ht="18.75" customHeight="1">
      <c r="A8" s="5"/>
      <c r="C8" s="9"/>
      <c r="D8" s="128" t="s">
        <v>330</v>
      </c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124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308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323">
        <v>1</v>
      </c>
      <c r="B16" s="325" t="s">
        <v>32</v>
      </c>
      <c r="C16" s="323">
        <f t="shared" ref="C16" si="0">+A16+D16-1</f>
        <v>1</v>
      </c>
      <c r="D16" s="323">
        <f t="shared" ref="D16" si="1">+O16/N16</f>
        <v>1</v>
      </c>
      <c r="E16" s="83" t="str">
        <f>+$D$7</f>
        <v>Ladies Skirt</v>
      </c>
      <c r="F16" s="31">
        <v>116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116</v>
      </c>
      <c r="O16" s="28">
        <v>116</v>
      </c>
      <c r="P16" s="317"/>
      <c r="Q16" s="317"/>
      <c r="R16" s="319"/>
      <c r="S16" s="319"/>
      <c r="T16" s="321">
        <f>+ROUND(D16*U16*V16*W16/1000000,3)</f>
        <v>8.8999999999999996E-2</v>
      </c>
      <c r="U16" s="313">
        <v>60</v>
      </c>
      <c r="V16" s="313">
        <v>33</v>
      </c>
      <c r="W16" s="313">
        <v>45</v>
      </c>
      <c r="X16" s="315" t="s">
        <v>326</v>
      </c>
    </row>
    <row r="17" spans="1:27" s="42" customFormat="1" ht="27.75" customHeight="1">
      <c r="A17" s="324"/>
      <c r="B17" s="326"/>
      <c r="C17" s="324"/>
      <c r="D17" s="324"/>
      <c r="E17" s="83" t="str">
        <f>D8</f>
        <v>Ladies Blouse</v>
      </c>
      <c r="F17" s="31">
        <v>8</v>
      </c>
      <c r="G17" s="31"/>
      <c r="H17" s="31"/>
      <c r="I17" s="31"/>
      <c r="J17" s="31"/>
      <c r="K17" s="30"/>
      <c r="L17" s="30"/>
      <c r="M17" s="30"/>
      <c r="N17" s="28">
        <f t="shared" si="2"/>
        <v>8</v>
      </c>
      <c r="O17" s="28">
        <v>8</v>
      </c>
      <c r="P17" s="318"/>
      <c r="Q17" s="318"/>
      <c r="R17" s="320"/>
      <c r="S17" s="320"/>
      <c r="T17" s="322"/>
      <c r="U17" s="314"/>
      <c r="V17" s="314"/>
      <c r="W17" s="314"/>
      <c r="X17" s="316"/>
    </row>
    <row r="18" spans="1:27" s="42" customFormat="1" ht="24" customHeight="1">
      <c r="A18" s="219" t="s">
        <v>33</v>
      </c>
      <c r="B18" s="220"/>
      <c r="C18" s="221"/>
      <c r="D18" s="44">
        <f>SUM(D16:D17)</f>
        <v>1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124</v>
      </c>
      <c r="P18" s="49"/>
      <c r="Q18" s="49"/>
      <c r="R18" s="51">
        <f>SUM(R16:R17)</f>
        <v>0</v>
      </c>
      <c r="S18" s="51">
        <f>SUM(S16:S17)</f>
        <v>0</v>
      </c>
      <c r="T18" s="51">
        <f>SUM(T16:T17)</f>
        <v>8.8999999999999996E-2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7">
    <filterColumn colId="0" showButton="0"/>
    <filterColumn colId="1" showButton="0"/>
  </autoFilter>
  <mergeCells count="38">
    <mergeCell ref="D16:D17"/>
    <mergeCell ref="A16:A17"/>
    <mergeCell ref="C16:C17"/>
    <mergeCell ref="B16:B17"/>
    <mergeCell ref="A18:C18"/>
    <mergeCell ref="U16:U17"/>
    <mergeCell ref="V16:V17"/>
    <mergeCell ref="W16:W17"/>
    <mergeCell ref="X16:X17"/>
    <mergeCell ref="P16:P17"/>
    <mergeCell ref="Q16:Q17"/>
    <mergeCell ref="R16:R17"/>
    <mergeCell ref="S16:S17"/>
    <mergeCell ref="T16:T17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7"/>
  <sheetViews>
    <sheetView view="pageBreakPreview" zoomScale="73" zoomScaleNormal="80" zoomScaleSheetLayoutView="73" workbookViewId="0">
      <pane xSplit="5" ySplit="15" topLeftCell="F16" activePane="bottomRight" state="frozen"/>
      <selection activeCell="O19" sqref="O19"/>
      <selection pane="topRight" activeCell="O19" sqref="O19"/>
      <selection pane="bottomLeft" activeCell="O19" sqref="O19"/>
      <selection pane="bottomRight" activeCell="O19" sqref="O1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332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O17</f>
        <v>133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315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" si="0">+A16+D16-1</f>
        <v>1</v>
      </c>
      <c r="D16" s="27">
        <f t="shared" ref="D16" si="1">+O16/N16</f>
        <v>1</v>
      </c>
      <c r="E16" s="83" t="str">
        <f>+$D$7</f>
        <v>Children Shirt</v>
      </c>
      <c r="F16" s="31">
        <v>133</v>
      </c>
      <c r="G16" s="31"/>
      <c r="H16" s="31"/>
      <c r="I16" s="31"/>
      <c r="J16" s="31"/>
      <c r="K16" s="30"/>
      <c r="L16" s="30"/>
      <c r="M16" s="30"/>
      <c r="N16" s="28">
        <f t="shared" ref="N16" si="2">+SUM(F16:M16)</f>
        <v>133</v>
      </c>
      <c r="O16" s="28">
        <v>133</v>
      </c>
      <c r="P16" s="99"/>
      <c r="Q16" s="99"/>
      <c r="R16" s="105"/>
      <c r="S16" s="35"/>
      <c r="T16" s="82">
        <f>+ROUND(D16*U16*V16*W16/1000000,3)</f>
        <v>8.8999999999999996E-2</v>
      </c>
      <c r="U16" s="94">
        <v>60</v>
      </c>
      <c r="V16" s="94">
        <v>33</v>
      </c>
      <c r="W16" s="94">
        <v>45</v>
      </c>
      <c r="X16" s="109" t="s">
        <v>326</v>
      </c>
    </row>
    <row r="17" spans="1:27" s="42" customFormat="1" ht="24" customHeight="1">
      <c r="A17" s="219" t="s">
        <v>33</v>
      </c>
      <c r="B17" s="220"/>
      <c r="C17" s="221"/>
      <c r="D17" s="44">
        <f>SUM(D16:D16)</f>
        <v>1</v>
      </c>
      <c r="E17" s="45"/>
      <c r="F17" s="47"/>
      <c r="G17" s="47"/>
      <c r="H17" s="47"/>
      <c r="I17" s="47"/>
      <c r="J17" s="47"/>
      <c r="K17" s="47"/>
      <c r="L17" s="47"/>
      <c r="M17" s="47"/>
      <c r="N17" s="48"/>
      <c r="O17" s="44">
        <f>SUM(O16:O16)</f>
        <v>133</v>
      </c>
      <c r="P17" s="49"/>
      <c r="Q17" s="49"/>
      <c r="R17" s="51">
        <f>SUM(R16:R16)</f>
        <v>0</v>
      </c>
      <c r="S17" s="51">
        <f>SUM(S16:S16)</f>
        <v>0</v>
      </c>
      <c r="T17" s="51">
        <f>SUM(T16:T16)</f>
        <v>8.8999999999999996E-2</v>
      </c>
      <c r="U17" s="52"/>
      <c r="V17" s="3"/>
      <c r="W17" s="53"/>
      <c r="X17" s="8"/>
      <c r="AA17" s="110"/>
    </row>
    <row r="18" spans="1:27" s="42" customFormat="1" ht="12.75" customHeight="1">
      <c r="A18" s="54"/>
      <c r="B18" s="22"/>
      <c r="C18" s="22"/>
      <c r="D18" s="55"/>
      <c r="E18" s="55"/>
      <c r="F18" s="54"/>
      <c r="G18" s="54"/>
      <c r="H18" s="54"/>
      <c r="I18" s="54"/>
      <c r="J18" s="54"/>
      <c r="K18" s="54"/>
      <c r="L18" s="54"/>
      <c r="M18" s="54"/>
      <c r="N18" s="56"/>
      <c r="O18" s="57"/>
      <c r="P18" s="22"/>
      <c r="Q18" s="22"/>
      <c r="R18" s="57"/>
      <c r="S18" s="57"/>
      <c r="T18" s="58"/>
      <c r="U18" s="3"/>
      <c r="V18" s="3"/>
      <c r="W18" s="53"/>
      <c r="X18" s="8"/>
    </row>
    <row r="19" spans="1:27">
      <c r="S19" s="74"/>
    </row>
    <row r="22" spans="1:27">
      <c r="O22" s="75"/>
      <c r="P22" s="76"/>
      <c r="Q22" s="76"/>
      <c r="R22" s="76"/>
    </row>
    <row r="23" spans="1:27">
      <c r="O23" s="76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P27" s="76"/>
      <c r="Q27" s="76"/>
      <c r="R27" s="76"/>
    </row>
  </sheetData>
  <autoFilter ref="A15:CY16">
    <filterColumn colId="0" showButton="0"/>
    <filterColumn colId="1" showButton="0"/>
  </autoFilter>
  <mergeCells count="25">
    <mergeCell ref="A17:C17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O19" sqref="O19"/>
      <selection pane="topRight" activeCell="O19" sqref="O19"/>
      <selection pane="bottomLeft" activeCell="O19" sqref="O19"/>
      <selection pane="bottomRight" activeCell="O19" sqref="O1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5.1406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335</v>
      </c>
      <c r="E7" s="7"/>
    </row>
    <row r="8" spans="1:25" s="8" customFormat="1" ht="18.75" customHeight="1">
      <c r="A8" s="5"/>
      <c r="C8" s="9"/>
      <c r="D8" s="128" t="s">
        <v>333</v>
      </c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152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308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323">
        <v>1</v>
      </c>
      <c r="B16" s="325" t="s">
        <v>32</v>
      </c>
      <c r="C16" s="323">
        <f t="shared" ref="C16" si="0">+A16+D16-1</f>
        <v>1</v>
      </c>
      <c r="D16" s="323">
        <f t="shared" ref="D16" si="1">+O16/N16</f>
        <v>1</v>
      </c>
      <c r="E16" s="83" t="str">
        <f>+$D$7</f>
        <v>Ladies Suit</v>
      </c>
      <c r="F16" s="31">
        <v>18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18</v>
      </c>
      <c r="O16" s="28">
        <v>18</v>
      </c>
      <c r="P16" s="317"/>
      <c r="Q16" s="317"/>
      <c r="R16" s="319"/>
      <c r="S16" s="319"/>
      <c r="T16" s="321">
        <f>+ROUND(D16*U16*V16*W16/1000000,3)</f>
        <v>6.5000000000000002E-2</v>
      </c>
      <c r="U16" s="313">
        <v>60</v>
      </c>
      <c r="V16" s="313">
        <v>40</v>
      </c>
      <c r="W16" s="313">
        <v>27</v>
      </c>
      <c r="X16" s="315" t="s">
        <v>336</v>
      </c>
    </row>
    <row r="17" spans="1:27" s="42" customFormat="1" ht="27.75" customHeight="1">
      <c r="A17" s="324"/>
      <c r="B17" s="326"/>
      <c r="C17" s="324"/>
      <c r="D17" s="324"/>
      <c r="E17" s="83" t="str">
        <f>D8</f>
        <v>Ladies Pants</v>
      </c>
      <c r="F17" s="31">
        <v>134</v>
      </c>
      <c r="G17" s="31"/>
      <c r="H17" s="31"/>
      <c r="I17" s="31"/>
      <c r="J17" s="31"/>
      <c r="K17" s="30"/>
      <c r="L17" s="30"/>
      <c r="M17" s="30"/>
      <c r="N17" s="28">
        <f t="shared" si="2"/>
        <v>134</v>
      </c>
      <c r="O17" s="28">
        <v>134</v>
      </c>
      <c r="P17" s="318"/>
      <c r="Q17" s="318"/>
      <c r="R17" s="320"/>
      <c r="S17" s="320"/>
      <c r="T17" s="322"/>
      <c r="U17" s="314"/>
      <c r="V17" s="314"/>
      <c r="W17" s="314"/>
      <c r="X17" s="316"/>
    </row>
    <row r="18" spans="1:27" s="42" customFormat="1" ht="24" customHeight="1">
      <c r="A18" s="219" t="s">
        <v>33</v>
      </c>
      <c r="B18" s="220"/>
      <c r="C18" s="221"/>
      <c r="D18" s="44">
        <f>SUM(D16:D17)</f>
        <v>1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152</v>
      </c>
      <c r="P18" s="49"/>
      <c r="Q18" s="49"/>
      <c r="R18" s="51">
        <f>SUM(R16:R17)</f>
        <v>0</v>
      </c>
      <c r="S18" s="51">
        <f>SUM(S16:S17)</f>
        <v>0</v>
      </c>
      <c r="T18" s="51">
        <f>SUM(T16:T17)</f>
        <v>6.5000000000000002E-2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7">
    <filterColumn colId="0" showButton="0"/>
    <filterColumn colId="1" showButton="0"/>
  </autoFilter>
  <mergeCells count="38">
    <mergeCell ref="X16:X17"/>
    <mergeCell ref="A18:C18"/>
    <mergeCell ref="R16:R17"/>
    <mergeCell ref="S16:S17"/>
    <mergeCell ref="T16:T17"/>
    <mergeCell ref="U16:U17"/>
    <mergeCell ref="V16:V17"/>
    <mergeCell ref="W16:W17"/>
    <mergeCell ref="A16:A17"/>
    <mergeCell ref="B16:B17"/>
    <mergeCell ref="C16:C17"/>
    <mergeCell ref="D16:D17"/>
    <mergeCell ref="P16:P17"/>
    <mergeCell ref="Q16:Q17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9"/>
  <sheetViews>
    <sheetView view="pageBreakPreview" zoomScale="73" zoomScaleNormal="80" zoomScaleSheetLayoutView="73" workbookViewId="0">
      <pane xSplit="5" ySplit="15" topLeftCell="F16" activePane="bottomRight" state="frozen"/>
      <selection activeCell="O19" sqref="O19"/>
      <selection pane="topRight" activeCell="O19" sqref="O19"/>
      <selection pane="bottomLeft" activeCell="O19" sqref="O19"/>
      <selection pane="bottomRight" activeCell="O19" sqref="O1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339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O19</f>
        <v>548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308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7" si="0">+A16+D16-1</f>
        <v>5</v>
      </c>
      <c r="D16" s="27">
        <f t="shared" ref="D16:D17" si="1">+O16/N16</f>
        <v>5</v>
      </c>
      <c r="E16" s="83" t="str">
        <f>+$D$7</f>
        <v>Children Pants Jean</v>
      </c>
      <c r="F16" s="31">
        <v>60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60</v>
      </c>
      <c r="O16" s="28">
        <v>300</v>
      </c>
      <c r="P16" s="99"/>
      <c r="Q16" s="99"/>
      <c r="R16" s="105"/>
      <c r="S16" s="35"/>
      <c r="T16" s="82">
        <f>+ROUND(D16*U16*V16*W16/1000000,3)</f>
        <v>0.307</v>
      </c>
      <c r="U16" s="94">
        <v>48</v>
      </c>
      <c r="V16" s="94">
        <v>40</v>
      </c>
      <c r="W16" s="94">
        <v>32</v>
      </c>
      <c r="X16" s="109" t="s">
        <v>338</v>
      </c>
    </row>
    <row r="17" spans="1:27" s="42" customFormat="1" ht="27.75" customHeight="1">
      <c r="A17" s="27">
        <f>+C16+1</f>
        <v>6</v>
      </c>
      <c r="B17" s="28" t="s">
        <v>32</v>
      </c>
      <c r="C17" s="27">
        <f t="shared" si="0"/>
        <v>8</v>
      </c>
      <c r="D17" s="27">
        <f t="shared" si="1"/>
        <v>3</v>
      </c>
      <c r="E17" s="83" t="str">
        <f t="shared" ref="E17:E18" si="3">+$D$7</f>
        <v>Children Pants Jean</v>
      </c>
      <c r="F17" s="31">
        <v>61</v>
      </c>
      <c r="G17" s="31"/>
      <c r="H17" s="31"/>
      <c r="I17" s="31"/>
      <c r="J17" s="31"/>
      <c r="K17" s="30"/>
      <c r="L17" s="30"/>
      <c r="M17" s="30"/>
      <c r="N17" s="28">
        <f t="shared" si="2"/>
        <v>61</v>
      </c>
      <c r="O17" s="28">
        <v>183</v>
      </c>
      <c r="P17" s="124"/>
      <c r="Q17" s="124"/>
      <c r="R17" s="125"/>
      <c r="S17" s="126"/>
      <c r="T17" s="82">
        <f>+ROUND(D17*U17*V17*W17/1000000,3)</f>
        <v>0.184</v>
      </c>
      <c r="U17" s="94">
        <v>48</v>
      </c>
      <c r="V17" s="94">
        <v>40</v>
      </c>
      <c r="W17" s="94">
        <v>32</v>
      </c>
      <c r="X17" s="109" t="s">
        <v>338</v>
      </c>
    </row>
    <row r="18" spans="1:27" s="42" customFormat="1" ht="27.75" customHeight="1">
      <c r="A18" s="27">
        <f>+C17+1</f>
        <v>9</v>
      </c>
      <c r="B18" s="28" t="s">
        <v>32</v>
      </c>
      <c r="C18" s="27">
        <f t="shared" ref="C18" si="4">+A18+D18-1</f>
        <v>9</v>
      </c>
      <c r="D18" s="27">
        <f t="shared" ref="D18" si="5">+O18/N18</f>
        <v>1</v>
      </c>
      <c r="E18" s="83" t="str">
        <f t="shared" si="3"/>
        <v>Children Pants Jean</v>
      </c>
      <c r="F18" s="31">
        <v>65</v>
      </c>
      <c r="G18" s="31"/>
      <c r="H18" s="31"/>
      <c r="I18" s="31"/>
      <c r="J18" s="31"/>
      <c r="K18" s="30"/>
      <c r="L18" s="30"/>
      <c r="M18" s="30"/>
      <c r="N18" s="28">
        <f t="shared" ref="N18" si="6">+SUM(F18:M18)</f>
        <v>65</v>
      </c>
      <c r="O18" s="28">
        <v>65</v>
      </c>
      <c r="P18" s="124"/>
      <c r="Q18" s="124"/>
      <c r="R18" s="125"/>
      <c r="S18" s="126"/>
      <c r="T18" s="82">
        <f>+ROUND(D18*U18*V18*W18/1000000,3)</f>
        <v>6.0999999999999999E-2</v>
      </c>
      <c r="U18" s="94">
        <v>48</v>
      </c>
      <c r="V18" s="94">
        <v>40</v>
      </c>
      <c r="W18" s="94">
        <v>32</v>
      </c>
      <c r="X18" s="109" t="s">
        <v>338</v>
      </c>
    </row>
    <row r="19" spans="1:27" s="42" customFormat="1" ht="24" customHeight="1">
      <c r="A19" s="219" t="s">
        <v>33</v>
      </c>
      <c r="B19" s="220"/>
      <c r="C19" s="221"/>
      <c r="D19" s="44">
        <f>SUM(D16:D18)</f>
        <v>9</v>
      </c>
      <c r="E19" s="45"/>
      <c r="F19" s="47"/>
      <c r="G19" s="47"/>
      <c r="H19" s="47"/>
      <c r="I19" s="47"/>
      <c r="J19" s="47"/>
      <c r="K19" s="47"/>
      <c r="L19" s="47"/>
      <c r="M19" s="47"/>
      <c r="N19" s="48"/>
      <c r="O19" s="44">
        <f>SUM(O16:O18)</f>
        <v>548</v>
      </c>
      <c r="P19" s="49"/>
      <c r="Q19" s="49"/>
      <c r="R19" s="51">
        <f t="shared" ref="R19:T19" si="7">SUM(R16:R18)</f>
        <v>0</v>
      </c>
      <c r="S19" s="51">
        <f t="shared" si="7"/>
        <v>0</v>
      </c>
      <c r="T19" s="51">
        <f t="shared" si="7"/>
        <v>0.55200000000000005</v>
      </c>
      <c r="U19" s="52"/>
      <c r="V19" s="3"/>
      <c r="W19" s="53"/>
      <c r="X19" s="8"/>
      <c r="AA19" s="110"/>
    </row>
    <row r="20" spans="1:27" s="42" customFormat="1" ht="12.75" customHeight="1">
      <c r="A20" s="54"/>
      <c r="B20" s="22"/>
      <c r="C20" s="22"/>
      <c r="D20" s="55"/>
      <c r="E20" s="55"/>
      <c r="F20" s="54"/>
      <c r="G20" s="54"/>
      <c r="H20" s="54"/>
      <c r="I20" s="54"/>
      <c r="J20" s="54"/>
      <c r="K20" s="54"/>
      <c r="L20" s="54"/>
      <c r="M20" s="54"/>
      <c r="N20" s="56"/>
      <c r="O20" s="57"/>
      <c r="P20" s="22"/>
      <c r="Q20" s="22"/>
      <c r="R20" s="57"/>
      <c r="S20" s="57"/>
      <c r="T20" s="58"/>
      <c r="U20" s="3"/>
      <c r="V20" s="3"/>
      <c r="W20" s="53"/>
      <c r="X20" s="8"/>
    </row>
    <row r="21" spans="1:27">
      <c r="S21" s="74"/>
    </row>
    <row r="24" spans="1:27">
      <c r="O24" s="75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O28" s="76"/>
      <c r="P28" s="76"/>
      <c r="Q28" s="76"/>
      <c r="R28" s="76"/>
    </row>
    <row r="29" spans="1:27">
      <c r="P29" s="76"/>
      <c r="Q29" s="76"/>
      <c r="R29" s="76"/>
    </row>
  </sheetData>
  <autoFilter ref="A15:CY17">
    <filterColumn colId="0" showButton="0"/>
    <filterColumn colId="1" showButton="0"/>
  </autoFilter>
  <mergeCells count="25">
    <mergeCell ref="A19:C19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7"/>
  <sheetViews>
    <sheetView view="pageBreakPreview" zoomScale="73" zoomScaleNormal="80" zoomScaleSheetLayoutView="73" workbookViewId="0">
      <pane xSplit="5" ySplit="15" topLeftCell="F16" activePane="bottomRight" state="frozen"/>
      <selection activeCell="X17" sqref="X17"/>
      <selection pane="topRight" activeCell="X17" sqref="X17"/>
      <selection pane="bottomLeft" activeCell="X17" sqref="X17"/>
      <selection pane="bottomRight" activeCell="X17" sqref="X1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337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O17</f>
        <v>87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308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" si="0">+A16+D16-1</f>
        <v>1</v>
      </c>
      <c r="D16" s="27">
        <f t="shared" ref="D16" si="1">+O16/N16</f>
        <v>1</v>
      </c>
      <c r="E16" s="83" t="str">
        <f>+$D$7</f>
        <v>Children Pants</v>
      </c>
      <c r="F16" s="31">
        <v>87</v>
      </c>
      <c r="G16" s="31"/>
      <c r="H16" s="31"/>
      <c r="I16" s="31"/>
      <c r="J16" s="31"/>
      <c r="K16" s="30"/>
      <c r="L16" s="30"/>
      <c r="M16" s="30"/>
      <c r="N16" s="28">
        <f t="shared" ref="N16" si="2">+SUM(F16:M16)</f>
        <v>87</v>
      </c>
      <c r="O16" s="28">
        <v>87</v>
      </c>
      <c r="P16" s="99"/>
      <c r="Q16" s="99"/>
      <c r="R16" s="105"/>
      <c r="S16" s="35"/>
      <c r="T16" s="82">
        <f>+ROUND(D16*U16*V16*W16/1000000,3)</f>
        <v>6.0999999999999999E-2</v>
      </c>
      <c r="U16" s="94">
        <v>48</v>
      </c>
      <c r="V16" s="94">
        <v>40</v>
      </c>
      <c r="W16" s="94">
        <v>32</v>
      </c>
      <c r="X16" s="109" t="s">
        <v>338</v>
      </c>
    </row>
    <row r="17" spans="1:27" s="42" customFormat="1" ht="24" customHeight="1">
      <c r="A17" s="219" t="s">
        <v>33</v>
      </c>
      <c r="B17" s="220"/>
      <c r="C17" s="221"/>
      <c r="D17" s="44">
        <f>SUM(D16:D16)</f>
        <v>1</v>
      </c>
      <c r="E17" s="45"/>
      <c r="F17" s="47"/>
      <c r="G17" s="47"/>
      <c r="H17" s="47"/>
      <c r="I17" s="47"/>
      <c r="J17" s="47"/>
      <c r="K17" s="47"/>
      <c r="L17" s="47"/>
      <c r="M17" s="47"/>
      <c r="N17" s="48"/>
      <c r="O17" s="44">
        <f>SUM(O16:O16)</f>
        <v>87</v>
      </c>
      <c r="P17" s="49"/>
      <c r="Q17" s="49"/>
      <c r="R17" s="51">
        <f>SUM(R16:R16)</f>
        <v>0</v>
      </c>
      <c r="S17" s="51">
        <f>SUM(S16:S16)</f>
        <v>0</v>
      </c>
      <c r="T17" s="51">
        <f>SUM(T16:T16)</f>
        <v>6.0999999999999999E-2</v>
      </c>
      <c r="U17" s="52"/>
      <c r="V17" s="3"/>
      <c r="W17" s="53"/>
      <c r="X17" s="8"/>
      <c r="AA17" s="110"/>
    </row>
    <row r="18" spans="1:27" s="42" customFormat="1" ht="12.75" customHeight="1">
      <c r="A18" s="54"/>
      <c r="B18" s="22"/>
      <c r="C18" s="22"/>
      <c r="D18" s="55"/>
      <c r="E18" s="55"/>
      <c r="F18" s="54"/>
      <c r="G18" s="54"/>
      <c r="H18" s="54"/>
      <c r="I18" s="54"/>
      <c r="J18" s="54"/>
      <c r="K18" s="54"/>
      <c r="L18" s="54"/>
      <c r="M18" s="54"/>
      <c r="N18" s="56"/>
      <c r="O18" s="57"/>
      <c r="P18" s="22"/>
      <c r="Q18" s="22"/>
      <c r="R18" s="57"/>
      <c r="S18" s="57"/>
      <c r="T18" s="58"/>
      <c r="U18" s="3"/>
      <c r="V18" s="3"/>
      <c r="W18" s="53"/>
      <c r="X18" s="8"/>
    </row>
    <row r="19" spans="1:27">
      <c r="S19" s="74"/>
    </row>
    <row r="22" spans="1:27">
      <c r="O22" s="75"/>
      <c r="P22" s="76"/>
      <c r="Q22" s="76"/>
      <c r="R22" s="76"/>
    </row>
    <row r="23" spans="1:27">
      <c r="O23" s="76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P27" s="76"/>
      <c r="Q27" s="76"/>
      <c r="R27" s="76"/>
    </row>
  </sheetData>
  <autoFilter ref="A15:CY16">
    <filterColumn colId="0" showButton="0"/>
    <filterColumn colId="1" showButton="0"/>
  </autoFilter>
  <mergeCells count="25">
    <mergeCell ref="A17:C17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X17" sqref="X17"/>
      <selection pane="topRight" activeCell="X17" sqref="X17"/>
      <selection pane="bottomLeft" activeCell="X17" sqref="X17"/>
      <selection pane="bottomRight" activeCell="X17" sqref="X1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328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400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>
        <v>10</v>
      </c>
      <c r="G14" s="227">
        <v>12</v>
      </c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7" si="0">+A16+D16-1</f>
        <v>2</v>
      </c>
      <c r="D16" s="27">
        <f t="shared" ref="D16:D17" si="1">+O16/N16</f>
        <v>2</v>
      </c>
      <c r="E16" s="83" t="str">
        <f>+$D$7</f>
        <v>Children Skirt</v>
      </c>
      <c r="F16" s="31">
        <v>130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130</v>
      </c>
      <c r="O16" s="28">
        <v>260</v>
      </c>
      <c r="P16" s="99"/>
      <c r="Q16" s="99"/>
      <c r="R16" s="105"/>
      <c r="S16" s="35"/>
      <c r="T16" s="82">
        <f>+ROUND(D16*U16*V16*W16/1000000,3)</f>
        <v>0.32400000000000001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3</v>
      </c>
      <c r="B17" s="28" t="s">
        <v>32</v>
      </c>
      <c r="C17" s="27">
        <f t="shared" si="0"/>
        <v>3</v>
      </c>
      <c r="D17" s="27">
        <f t="shared" si="1"/>
        <v>1</v>
      </c>
      <c r="E17" s="83" t="str">
        <f t="shared" ref="E17" si="3">+$D$7</f>
        <v>Children Skirt</v>
      </c>
      <c r="F17" s="31"/>
      <c r="G17" s="31">
        <v>140</v>
      </c>
      <c r="H17" s="31"/>
      <c r="I17" s="31"/>
      <c r="J17" s="31"/>
      <c r="K17" s="30"/>
      <c r="L17" s="30"/>
      <c r="M17" s="30"/>
      <c r="N17" s="28">
        <f t="shared" si="2"/>
        <v>140</v>
      </c>
      <c r="O17" s="28">
        <v>140</v>
      </c>
      <c r="P17" s="124"/>
      <c r="Q17" s="124"/>
      <c r="R17" s="125"/>
      <c r="S17" s="126"/>
      <c r="T17" s="82">
        <f>+ROUND(D17*U17*V17*W17/1000000,3)</f>
        <v>0.16200000000000001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4" customHeight="1">
      <c r="A18" s="219" t="s">
        <v>33</v>
      </c>
      <c r="B18" s="220"/>
      <c r="C18" s="221"/>
      <c r="D18" s="44">
        <f>SUM(D16:D17)</f>
        <v>3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400</v>
      </c>
      <c r="P18" s="49"/>
      <c r="Q18" s="49"/>
      <c r="R18" s="51">
        <f>SUM(R16:R17)</f>
        <v>0</v>
      </c>
      <c r="S18" s="51">
        <f>SUM(S16:S17)</f>
        <v>0</v>
      </c>
      <c r="T18" s="51">
        <f>SUM(T16:T17)</f>
        <v>0.48599999999999999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7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18:C18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2"/>
  <sheetViews>
    <sheetView view="pageBreakPreview" zoomScale="73" zoomScaleNormal="80" zoomScaleSheetLayoutView="73" workbookViewId="0">
      <pane xSplit="5" ySplit="15" topLeftCell="F19" activePane="bottomRight" state="frozen"/>
      <selection activeCell="X17" sqref="X17"/>
      <selection pane="topRight" activeCell="X17" sqref="X17"/>
      <selection pane="bottomLeft" activeCell="X17" sqref="X17"/>
      <selection pane="bottomRight" activeCell="X17" sqref="X1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340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O22</f>
        <v>146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341</v>
      </c>
      <c r="G14" s="227">
        <v>32</v>
      </c>
      <c r="H14" s="227">
        <v>34</v>
      </c>
      <c r="I14" s="227">
        <v>38</v>
      </c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21" si="0">+A16+D16-1</f>
        <v>2</v>
      </c>
      <c r="D16" s="27">
        <f t="shared" ref="D16:D21" si="1">+O16/N16</f>
        <v>2</v>
      </c>
      <c r="E16" s="83" t="str">
        <f>+$D$7</f>
        <v>Men's Jacket</v>
      </c>
      <c r="F16" s="31">
        <v>10</v>
      </c>
      <c r="G16" s="31"/>
      <c r="H16" s="31"/>
      <c r="I16" s="31"/>
      <c r="J16" s="31"/>
      <c r="K16" s="30"/>
      <c r="L16" s="30"/>
      <c r="M16" s="30"/>
      <c r="N16" s="28">
        <f t="shared" ref="N16:N21" si="2">+SUM(F16:M16)</f>
        <v>10</v>
      </c>
      <c r="O16" s="28">
        <v>20</v>
      </c>
      <c r="P16" s="99"/>
      <c r="Q16" s="99"/>
      <c r="R16" s="105"/>
      <c r="S16" s="35"/>
      <c r="T16" s="82">
        <f t="shared" ref="T16:T21" si="3">+ROUND(D16*U16*V16*W16/1000000,3)</f>
        <v>0.32400000000000001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3</v>
      </c>
      <c r="B17" s="28" t="s">
        <v>32</v>
      </c>
      <c r="C17" s="27">
        <f t="shared" si="0"/>
        <v>3</v>
      </c>
      <c r="D17" s="27">
        <f t="shared" si="1"/>
        <v>1</v>
      </c>
      <c r="E17" s="83" t="str">
        <f t="shared" ref="E17:E21" si="4">+$D$7</f>
        <v>Men's Jacket</v>
      </c>
      <c r="F17" s="31">
        <v>11</v>
      </c>
      <c r="G17" s="31"/>
      <c r="H17" s="31"/>
      <c r="I17" s="31"/>
      <c r="J17" s="31"/>
      <c r="K17" s="30"/>
      <c r="L17" s="30"/>
      <c r="M17" s="30"/>
      <c r="N17" s="28">
        <f t="shared" si="2"/>
        <v>11</v>
      </c>
      <c r="O17" s="28">
        <v>11</v>
      </c>
      <c r="P17" s="124"/>
      <c r="Q17" s="124"/>
      <c r="R17" s="125"/>
      <c r="S17" s="126"/>
      <c r="T17" s="82">
        <f t="shared" si="3"/>
        <v>0.16200000000000001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7.75" customHeight="1">
      <c r="A18" s="27">
        <f t="shared" ref="A18:A21" si="5">+C17+1</f>
        <v>4</v>
      </c>
      <c r="B18" s="28" t="s">
        <v>32</v>
      </c>
      <c r="C18" s="27">
        <f t="shared" si="0"/>
        <v>6</v>
      </c>
      <c r="D18" s="27">
        <f t="shared" si="1"/>
        <v>3</v>
      </c>
      <c r="E18" s="83" t="str">
        <f t="shared" si="4"/>
        <v>Men's Jacket</v>
      </c>
      <c r="F18" s="31">
        <v>15</v>
      </c>
      <c r="G18" s="31"/>
      <c r="H18" s="31"/>
      <c r="I18" s="31"/>
      <c r="J18" s="31"/>
      <c r="K18" s="30"/>
      <c r="L18" s="30"/>
      <c r="M18" s="30"/>
      <c r="N18" s="28">
        <f t="shared" si="2"/>
        <v>15</v>
      </c>
      <c r="O18" s="28">
        <v>45</v>
      </c>
      <c r="P18" s="99"/>
      <c r="Q18" s="99"/>
      <c r="R18" s="105"/>
      <c r="S18" s="35"/>
      <c r="T18" s="82">
        <f t="shared" si="3"/>
        <v>0.48599999999999999</v>
      </c>
      <c r="U18" s="94">
        <v>90</v>
      </c>
      <c r="V18" s="94">
        <v>60</v>
      </c>
      <c r="W18" s="94">
        <v>30</v>
      </c>
      <c r="X18" s="109" t="s">
        <v>309</v>
      </c>
    </row>
    <row r="19" spans="1:27" s="42" customFormat="1" ht="27.75" customHeight="1">
      <c r="A19" s="27">
        <f t="shared" si="5"/>
        <v>7</v>
      </c>
      <c r="B19" s="28" t="s">
        <v>32</v>
      </c>
      <c r="C19" s="27">
        <f t="shared" si="0"/>
        <v>7</v>
      </c>
      <c r="D19" s="27">
        <f t="shared" si="1"/>
        <v>1</v>
      </c>
      <c r="E19" s="83" t="str">
        <f t="shared" si="4"/>
        <v>Men's Jacket</v>
      </c>
      <c r="F19" s="31"/>
      <c r="G19" s="31">
        <v>30</v>
      </c>
      <c r="H19" s="31"/>
      <c r="I19" s="31"/>
      <c r="J19" s="31"/>
      <c r="K19" s="30"/>
      <c r="L19" s="30"/>
      <c r="M19" s="30"/>
      <c r="N19" s="28">
        <f t="shared" si="2"/>
        <v>30</v>
      </c>
      <c r="O19" s="28">
        <v>30</v>
      </c>
      <c r="P19" s="99"/>
      <c r="Q19" s="99"/>
      <c r="R19" s="105"/>
      <c r="S19" s="35"/>
      <c r="T19" s="82">
        <f t="shared" si="3"/>
        <v>0.16200000000000001</v>
      </c>
      <c r="U19" s="94">
        <v>90</v>
      </c>
      <c r="V19" s="94">
        <v>60</v>
      </c>
      <c r="W19" s="94">
        <v>30</v>
      </c>
      <c r="X19" s="109" t="s">
        <v>309</v>
      </c>
    </row>
    <row r="20" spans="1:27" s="42" customFormat="1" ht="27.75" customHeight="1">
      <c r="A20" s="27">
        <f t="shared" si="5"/>
        <v>8</v>
      </c>
      <c r="B20" s="28" t="s">
        <v>32</v>
      </c>
      <c r="C20" s="27">
        <f t="shared" si="0"/>
        <v>8</v>
      </c>
      <c r="D20" s="27">
        <f t="shared" si="1"/>
        <v>1</v>
      </c>
      <c r="E20" s="83" t="str">
        <f t="shared" si="4"/>
        <v>Men's Jacket</v>
      </c>
      <c r="F20" s="31"/>
      <c r="G20" s="31"/>
      <c r="H20" s="31">
        <v>25</v>
      </c>
      <c r="I20" s="31"/>
      <c r="J20" s="31"/>
      <c r="K20" s="30"/>
      <c r="L20" s="30"/>
      <c r="M20" s="30"/>
      <c r="N20" s="28">
        <f t="shared" si="2"/>
        <v>25</v>
      </c>
      <c r="O20" s="28">
        <v>25</v>
      </c>
      <c r="P20" s="99"/>
      <c r="Q20" s="99"/>
      <c r="R20" s="105"/>
      <c r="S20" s="35"/>
      <c r="T20" s="82">
        <f t="shared" si="3"/>
        <v>0.16200000000000001</v>
      </c>
      <c r="U20" s="94">
        <v>90</v>
      </c>
      <c r="V20" s="94">
        <v>60</v>
      </c>
      <c r="W20" s="94">
        <v>30</v>
      </c>
      <c r="X20" s="109" t="s">
        <v>309</v>
      </c>
    </row>
    <row r="21" spans="1:27" s="42" customFormat="1" ht="27.75" customHeight="1">
      <c r="A21" s="27">
        <f t="shared" si="5"/>
        <v>9</v>
      </c>
      <c r="B21" s="28" t="s">
        <v>32</v>
      </c>
      <c r="C21" s="27">
        <f t="shared" si="0"/>
        <v>9</v>
      </c>
      <c r="D21" s="27">
        <f t="shared" si="1"/>
        <v>1</v>
      </c>
      <c r="E21" s="83" t="str">
        <f t="shared" si="4"/>
        <v>Men's Jacket</v>
      </c>
      <c r="F21" s="31"/>
      <c r="G21" s="31"/>
      <c r="H21" s="31"/>
      <c r="I21" s="31">
        <v>15</v>
      </c>
      <c r="J21" s="31"/>
      <c r="K21" s="30"/>
      <c r="L21" s="30"/>
      <c r="M21" s="30"/>
      <c r="N21" s="28">
        <f t="shared" si="2"/>
        <v>15</v>
      </c>
      <c r="O21" s="28">
        <v>15</v>
      </c>
      <c r="P21" s="99"/>
      <c r="Q21" s="99"/>
      <c r="R21" s="105"/>
      <c r="S21" s="35"/>
      <c r="T21" s="82">
        <f t="shared" si="3"/>
        <v>0.16200000000000001</v>
      </c>
      <c r="U21" s="94">
        <v>90</v>
      </c>
      <c r="V21" s="94">
        <v>60</v>
      </c>
      <c r="W21" s="94">
        <v>30</v>
      </c>
      <c r="X21" s="109" t="s">
        <v>309</v>
      </c>
    </row>
    <row r="22" spans="1:27" s="42" customFormat="1" ht="24" customHeight="1">
      <c r="A22" s="219" t="s">
        <v>33</v>
      </c>
      <c r="B22" s="220"/>
      <c r="C22" s="221"/>
      <c r="D22" s="44">
        <f>SUM(D16:D21)</f>
        <v>9</v>
      </c>
      <c r="E22" s="45"/>
      <c r="F22" s="47"/>
      <c r="G22" s="47"/>
      <c r="H22" s="47"/>
      <c r="I22" s="47"/>
      <c r="J22" s="47"/>
      <c r="K22" s="47"/>
      <c r="L22" s="47"/>
      <c r="M22" s="47"/>
      <c r="N22" s="48"/>
      <c r="O22" s="44">
        <f>SUM(O16:O21)</f>
        <v>146</v>
      </c>
      <c r="P22" s="49"/>
      <c r="Q22" s="49"/>
      <c r="R22" s="51">
        <f t="shared" ref="R22:T22" si="6">SUM(R16:R21)</f>
        <v>0</v>
      </c>
      <c r="S22" s="51">
        <f t="shared" si="6"/>
        <v>0</v>
      </c>
      <c r="T22" s="51">
        <f t="shared" si="6"/>
        <v>1.4579999999999997</v>
      </c>
      <c r="U22" s="52"/>
      <c r="V22" s="3"/>
      <c r="W22" s="53"/>
      <c r="X22" s="8"/>
      <c r="AA22" s="110"/>
    </row>
    <row r="23" spans="1:27" s="42" customFormat="1" ht="12.75" customHeight="1">
      <c r="A23" s="54"/>
      <c r="B23" s="22"/>
      <c r="C23" s="22"/>
      <c r="D23" s="55"/>
      <c r="E23" s="55"/>
      <c r="F23" s="54"/>
      <c r="G23" s="54"/>
      <c r="H23" s="54"/>
      <c r="I23" s="54"/>
      <c r="J23" s="54"/>
      <c r="K23" s="54"/>
      <c r="L23" s="54"/>
      <c r="M23" s="54"/>
      <c r="N23" s="56"/>
      <c r="O23" s="57"/>
      <c r="P23" s="22"/>
      <c r="Q23" s="22"/>
      <c r="R23" s="57"/>
      <c r="S23" s="57"/>
      <c r="T23" s="58"/>
      <c r="U23" s="3"/>
      <c r="V23" s="3"/>
      <c r="W23" s="53"/>
      <c r="X23" s="8"/>
    </row>
    <row r="24" spans="1:27">
      <c r="N24" s="152"/>
      <c r="O24" s="152"/>
      <c r="P24" s="152"/>
      <c r="Q24" s="152"/>
      <c r="R24" s="152"/>
      <c r="S24" s="153"/>
      <c r="T24" s="152"/>
    </row>
    <row r="25" spans="1:27">
      <c r="N25" s="152"/>
      <c r="O25" s="154"/>
      <c r="P25" s="152"/>
      <c r="Q25" s="152"/>
      <c r="R25" s="152"/>
      <c r="S25" s="152"/>
      <c r="T25" s="155"/>
    </row>
    <row r="26" spans="1:27">
      <c r="N26" s="152"/>
      <c r="O26" s="152"/>
      <c r="P26" s="152"/>
      <c r="Q26" s="152"/>
      <c r="R26" s="152"/>
      <c r="S26" s="152"/>
      <c r="T26" s="152"/>
    </row>
    <row r="27" spans="1:27">
      <c r="O27" s="75"/>
      <c r="P27" s="76"/>
      <c r="Q27" s="76"/>
      <c r="R27" s="76"/>
    </row>
    <row r="28" spans="1:27">
      <c r="O28" s="76"/>
      <c r="P28" s="76"/>
      <c r="Q28" s="76"/>
      <c r="R28" s="76"/>
    </row>
    <row r="29" spans="1:27">
      <c r="O29" s="76"/>
      <c r="P29" s="76"/>
      <c r="Q29" s="76"/>
      <c r="R29" s="76"/>
    </row>
    <row r="30" spans="1:27">
      <c r="O30" s="76"/>
      <c r="P30" s="76"/>
      <c r="Q30" s="76"/>
      <c r="R30" s="76"/>
    </row>
    <row r="31" spans="1:27">
      <c r="O31" s="76"/>
      <c r="P31" s="76"/>
      <c r="Q31" s="76"/>
      <c r="R31" s="76"/>
    </row>
    <row r="32" spans="1:27">
      <c r="P32" s="76"/>
      <c r="Q32" s="76"/>
      <c r="R32" s="76"/>
    </row>
  </sheetData>
  <autoFilter ref="A15:CY19">
    <filterColumn colId="0" showButton="0"/>
    <filterColumn colId="1" showButton="0"/>
  </autoFilter>
  <mergeCells count="25">
    <mergeCell ref="A22:C22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2"/>
  <sheetViews>
    <sheetView view="pageBreakPreview" zoomScale="73" zoomScaleNormal="80" zoomScaleSheetLayoutView="73" workbookViewId="0">
      <pane xSplit="5" ySplit="15" topLeftCell="F18" activePane="bottomRight" state="frozen"/>
      <selection activeCell="X17" sqref="X17"/>
      <selection pane="topRight" activeCell="X17" sqref="X17"/>
      <selection pane="bottomLeft" activeCell="X17" sqref="X17"/>
      <selection pane="bottomRight" activeCell="X17" sqref="X1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327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O22</f>
        <v>606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>
        <v>30</v>
      </c>
      <c r="G14" s="227">
        <v>32</v>
      </c>
      <c r="H14" s="227">
        <v>34</v>
      </c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9" si="0">+A16+D16-1</f>
        <v>2</v>
      </c>
      <c r="D16" s="27">
        <f t="shared" ref="D16:D19" si="1">+O16/N16</f>
        <v>2</v>
      </c>
      <c r="E16" s="83" t="str">
        <f>+$D$7</f>
        <v>Men's Pants</v>
      </c>
      <c r="F16" s="31">
        <v>40</v>
      </c>
      <c r="G16" s="31"/>
      <c r="H16" s="31"/>
      <c r="I16" s="31"/>
      <c r="J16" s="31"/>
      <c r="K16" s="30"/>
      <c r="L16" s="30"/>
      <c r="M16" s="30"/>
      <c r="N16" s="28">
        <f t="shared" ref="N16:N19" si="2">+SUM(F16:M16)</f>
        <v>40</v>
      </c>
      <c r="O16" s="28">
        <v>80</v>
      </c>
      <c r="P16" s="99"/>
      <c r="Q16" s="99"/>
      <c r="R16" s="105"/>
      <c r="S16" s="35"/>
      <c r="T16" s="82">
        <f t="shared" ref="T16:T21" si="3">+ROUND(D16*U16*V16*W16/1000000,3)</f>
        <v>0.17799999999999999</v>
      </c>
      <c r="U16" s="94">
        <v>60</v>
      </c>
      <c r="V16" s="94">
        <v>33</v>
      </c>
      <c r="W16" s="94">
        <v>45</v>
      </c>
      <c r="X16" s="109" t="s">
        <v>326</v>
      </c>
    </row>
    <row r="17" spans="1:27" s="42" customFormat="1" ht="27.75" customHeight="1">
      <c r="A17" s="27">
        <f>+C16+1</f>
        <v>3</v>
      </c>
      <c r="B17" s="28" t="s">
        <v>32</v>
      </c>
      <c r="C17" s="27">
        <f t="shared" si="0"/>
        <v>3</v>
      </c>
      <c r="D17" s="27">
        <f t="shared" si="1"/>
        <v>1</v>
      </c>
      <c r="E17" s="83" t="str">
        <f t="shared" ref="E17:E21" si="4">+$D$7</f>
        <v>Men's Pants</v>
      </c>
      <c r="F17" s="31">
        <v>50</v>
      </c>
      <c r="G17" s="31"/>
      <c r="H17" s="31"/>
      <c r="I17" s="31"/>
      <c r="J17" s="31"/>
      <c r="K17" s="30"/>
      <c r="L17" s="30"/>
      <c r="M17" s="30"/>
      <c r="N17" s="28">
        <f t="shared" si="2"/>
        <v>50</v>
      </c>
      <c r="O17" s="28">
        <v>50</v>
      </c>
      <c r="P17" s="124"/>
      <c r="Q17" s="124"/>
      <c r="R17" s="125"/>
      <c r="S17" s="126"/>
      <c r="T17" s="82">
        <f t="shared" si="3"/>
        <v>8.8999999999999996E-2</v>
      </c>
      <c r="U17" s="94">
        <v>60</v>
      </c>
      <c r="V17" s="94">
        <v>33</v>
      </c>
      <c r="W17" s="94">
        <v>45</v>
      </c>
      <c r="X17" s="109" t="s">
        <v>326</v>
      </c>
    </row>
    <row r="18" spans="1:27" s="42" customFormat="1" ht="27.75" customHeight="1">
      <c r="A18" s="27">
        <f t="shared" ref="A18:A19" si="5">+C17+1</f>
        <v>4</v>
      </c>
      <c r="B18" s="28" t="s">
        <v>32</v>
      </c>
      <c r="C18" s="27">
        <f t="shared" si="0"/>
        <v>8</v>
      </c>
      <c r="D18" s="27">
        <f t="shared" si="1"/>
        <v>5</v>
      </c>
      <c r="E18" s="83" t="str">
        <f t="shared" si="4"/>
        <v>Men's Pants</v>
      </c>
      <c r="F18" s="31"/>
      <c r="G18" s="31">
        <v>40</v>
      </c>
      <c r="H18" s="31"/>
      <c r="I18" s="31"/>
      <c r="J18" s="31"/>
      <c r="K18" s="30"/>
      <c r="L18" s="30"/>
      <c r="M18" s="30"/>
      <c r="N18" s="28">
        <f t="shared" si="2"/>
        <v>40</v>
      </c>
      <c r="O18" s="28">
        <v>200</v>
      </c>
      <c r="P18" s="99"/>
      <c r="Q18" s="99"/>
      <c r="R18" s="105"/>
      <c r="S18" s="35"/>
      <c r="T18" s="82">
        <f t="shared" si="3"/>
        <v>0.44600000000000001</v>
      </c>
      <c r="U18" s="94">
        <v>60</v>
      </c>
      <c r="V18" s="94">
        <v>33</v>
      </c>
      <c r="W18" s="94">
        <v>45</v>
      </c>
      <c r="X18" s="109" t="s">
        <v>326</v>
      </c>
    </row>
    <row r="19" spans="1:27" s="42" customFormat="1" ht="27.75" customHeight="1">
      <c r="A19" s="27">
        <f t="shared" si="5"/>
        <v>9</v>
      </c>
      <c r="B19" s="28" t="s">
        <v>32</v>
      </c>
      <c r="C19" s="27">
        <f t="shared" si="0"/>
        <v>10</v>
      </c>
      <c r="D19" s="27">
        <f t="shared" si="1"/>
        <v>2</v>
      </c>
      <c r="E19" s="83" t="str">
        <f t="shared" si="4"/>
        <v>Men's Pants</v>
      </c>
      <c r="F19" s="31"/>
      <c r="G19" s="31"/>
      <c r="H19" s="31">
        <v>40</v>
      </c>
      <c r="I19" s="31"/>
      <c r="J19" s="31"/>
      <c r="K19" s="30"/>
      <c r="L19" s="30"/>
      <c r="M19" s="30"/>
      <c r="N19" s="28">
        <f t="shared" si="2"/>
        <v>40</v>
      </c>
      <c r="O19" s="28">
        <v>80</v>
      </c>
      <c r="P19" s="99"/>
      <c r="Q19" s="99"/>
      <c r="R19" s="105"/>
      <c r="S19" s="35"/>
      <c r="T19" s="82">
        <f t="shared" si="3"/>
        <v>0.17799999999999999</v>
      </c>
      <c r="U19" s="94">
        <v>60</v>
      </c>
      <c r="V19" s="94">
        <v>33</v>
      </c>
      <c r="W19" s="94">
        <v>45</v>
      </c>
      <c r="X19" s="109" t="s">
        <v>326</v>
      </c>
    </row>
    <row r="20" spans="1:27" s="42" customFormat="1" ht="27.75" customHeight="1">
      <c r="A20" s="27">
        <f t="shared" ref="A20" si="6">+C19+1</f>
        <v>11</v>
      </c>
      <c r="B20" s="28" t="s">
        <v>32</v>
      </c>
      <c r="C20" s="27">
        <f t="shared" ref="C20" si="7">+A20+D20-1</f>
        <v>13</v>
      </c>
      <c r="D20" s="27">
        <f t="shared" ref="D20" si="8">+O20/N20</f>
        <v>3</v>
      </c>
      <c r="E20" s="83" t="str">
        <f t="shared" si="4"/>
        <v>Men's Pants</v>
      </c>
      <c r="F20" s="31"/>
      <c r="G20" s="31">
        <v>50</v>
      </c>
      <c r="H20" s="31"/>
      <c r="I20" s="31"/>
      <c r="J20" s="31"/>
      <c r="K20" s="30"/>
      <c r="L20" s="30"/>
      <c r="M20" s="30"/>
      <c r="N20" s="28">
        <f t="shared" ref="N20" si="9">+SUM(F20:M20)</f>
        <v>50</v>
      </c>
      <c r="O20" s="28">
        <v>150</v>
      </c>
      <c r="P20" s="99"/>
      <c r="Q20" s="99"/>
      <c r="R20" s="105"/>
      <c r="S20" s="35"/>
      <c r="T20" s="82">
        <f t="shared" si="3"/>
        <v>0.26700000000000002</v>
      </c>
      <c r="U20" s="94">
        <v>60</v>
      </c>
      <c r="V20" s="94">
        <v>33</v>
      </c>
      <c r="W20" s="94">
        <v>45</v>
      </c>
      <c r="X20" s="109" t="s">
        <v>326</v>
      </c>
    </row>
    <row r="21" spans="1:27" s="42" customFormat="1" ht="27.75" customHeight="1">
      <c r="A21" s="27">
        <f t="shared" ref="A21" si="10">+C20+1</f>
        <v>14</v>
      </c>
      <c r="B21" s="28" t="s">
        <v>32</v>
      </c>
      <c r="C21" s="27">
        <f t="shared" ref="C21" si="11">+A21+D21-1</f>
        <v>14</v>
      </c>
      <c r="D21" s="27">
        <f t="shared" ref="D21" si="12">+O21/N21</f>
        <v>1</v>
      </c>
      <c r="E21" s="83" t="str">
        <f t="shared" si="4"/>
        <v>Men's Pants</v>
      </c>
      <c r="F21" s="31"/>
      <c r="G21" s="31">
        <v>46</v>
      </c>
      <c r="H21" s="31"/>
      <c r="I21" s="31"/>
      <c r="J21" s="31"/>
      <c r="K21" s="30"/>
      <c r="L21" s="30"/>
      <c r="M21" s="30"/>
      <c r="N21" s="28">
        <f t="shared" ref="N21" si="13">+SUM(F21:M21)</f>
        <v>46</v>
      </c>
      <c r="O21" s="28">
        <v>46</v>
      </c>
      <c r="P21" s="99"/>
      <c r="Q21" s="99"/>
      <c r="R21" s="105"/>
      <c r="S21" s="35"/>
      <c r="T21" s="82">
        <f t="shared" si="3"/>
        <v>8.8999999999999996E-2</v>
      </c>
      <c r="U21" s="94">
        <v>60</v>
      </c>
      <c r="V21" s="94">
        <v>33</v>
      </c>
      <c r="W21" s="94">
        <v>45</v>
      </c>
      <c r="X21" s="109" t="s">
        <v>326</v>
      </c>
    </row>
    <row r="22" spans="1:27" s="42" customFormat="1" ht="24" customHeight="1">
      <c r="A22" s="219" t="s">
        <v>33</v>
      </c>
      <c r="B22" s="220"/>
      <c r="C22" s="221"/>
      <c r="D22" s="44">
        <f>SUM(D16:D21)</f>
        <v>14</v>
      </c>
      <c r="E22" s="45"/>
      <c r="F22" s="47"/>
      <c r="G22" s="47"/>
      <c r="H22" s="47"/>
      <c r="I22" s="47"/>
      <c r="J22" s="47"/>
      <c r="K22" s="47"/>
      <c r="L22" s="47"/>
      <c r="M22" s="47"/>
      <c r="N22" s="48"/>
      <c r="O22" s="44">
        <f>SUM(O16:O21)</f>
        <v>606</v>
      </c>
      <c r="P22" s="49"/>
      <c r="Q22" s="49"/>
      <c r="R22" s="44">
        <f t="shared" ref="R22:T22" si="14">SUM(R16:R21)</f>
        <v>0</v>
      </c>
      <c r="S22" s="44">
        <f t="shared" si="14"/>
        <v>0</v>
      </c>
      <c r="T22" s="51">
        <f t="shared" si="14"/>
        <v>1.2469999999999999</v>
      </c>
      <c r="U22" s="52"/>
      <c r="V22" s="3"/>
      <c r="W22" s="53"/>
      <c r="X22" s="8"/>
      <c r="AA22" s="110"/>
    </row>
    <row r="23" spans="1:27" s="42" customFormat="1" ht="12.75" customHeight="1">
      <c r="A23" s="54"/>
      <c r="B23" s="22"/>
      <c r="C23" s="22"/>
      <c r="D23" s="55"/>
      <c r="E23" s="55"/>
      <c r="F23" s="54"/>
      <c r="G23" s="54"/>
      <c r="H23" s="54"/>
      <c r="I23" s="54"/>
      <c r="J23" s="54"/>
      <c r="K23" s="54"/>
      <c r="L23" s="54"/>
      <c r="M23" s="54"/>
      <c r="N23" s="56"/>
      <c r="O23" s="57"/>
      <c r="P23" s="22"/>
      <c r="Q23" s="22"/>
      <c r="R23" s="57"/>
      <c r="S23" s="57"/>
      <c r="T23" s="58"/>
      <c r="U23" s="3"/>
      <c r="V23" s="3"/>
      <c r="W23" s="53"/>
      <c r="X23" s="8"/>
    </row>
    <row r="24" spans="1:27">
      <c r="S24" s="74"/>
    </row>
    <row r="27" spans="1:27">
      <c r="O27" s="75"/>
      <c r="P27" s="76"/>
      <c r="Q27" s="76"/>
      <c r="R27" s="76"/>
    </row>
    <row r="28" spans="1:27">
      <c r="O28" s="76"/>
      <c r="P28" s="76"/>
      <c r="Q28" s="76"/>
      <c r="R28" s="76"/>
    </row>
    <row r="29" spans="1:27">
      <c r="O29" s="76"/>
      <c r="P29" s="76"/>
      <c r="Q29" s="76"/>
      <c r="R29" s="76"/>
    </row>
    <row r="30" spans="1:27">
      <c r="O30" s="76"/>
      <c r="P30" s="76"/>
      <c r="Q30" s="76"/>
      <c r="R30" s="76"/>
    </row>
    <row r="31" spans="1:27">
      <c r="O31" s="76"/>
      <c r="P31" s="76"/>
      <c r="Q31" s="76"/>
      <c r="R31" s="76"/>
    </row>
    <row r="32" spans="1:27">
      <c r="P32" s="76"/>
      <c r="Q32" s="76"/>
      <c r="R32" s="76"/>
    </row>
  </sheetData>
  <autoFilter ref="A15:CY19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22:C22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X17" sqref="X17"/>
      <selection pane="topRight" activeCell="X17" sqref="X17"/>
      <selection pane="bottomLeft" activeCell="X17" sqref="X17"/>
      <selection pane="bottomRight" activeCell="X17" sqref="X1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325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>
        <f>150+46+40+50+80+160+80</f>
        <v>606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115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>
        <v>30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7" si="0">+A16+D16-1</f>
        <v>1</v>
      </c>
      <c r="D16" s="27">
        <f t="shared" ref="D16:D17" si="1">+O16/N16</f>
        <v>1</v>
      </c>
      <c r="E16" s="83" t="str">
        <f>+$D$7</f>
        <v>Men's Short</v>
      </c>
      <c r="F16" s="31">
        <v>35</v>
      </c>
      <c r="G16" s="31"/>
      <c r="H16" s="31"/>
      <c r="I16" s="31"/>
      <c r="J16" s="31"/>
      <c r="K16" s="30"/>
      <c r="L16" s="30"/>
      <c r="M16" s="30"/>
      <c r="N16" s="28">
        <f t="shared" ref="N16:N17" si="2">+SUM(F16:M16)</f>
        <v>35</v>
      </c>
      <c r="O16" s="28">
        <v>35</v>
      </c>
      <c r="P16" s="99"/>
      <c r="Q16" s="99"/>
      <c r="R16" s="105"/>
      <c r="S16" s="35"/>
      <c r="T16" s="82">
        <f>+ROUND(D16*U16*V16*W16/1000000,3)</f>
        <v>8.8999999999999996E-2</v>
      </c>
      <c r="U16" s="94">
        <v>60</v>
      </c>
      <c r="V16" s="94">
        <v>33</v>
      </c>
      <c r="W16" s="94">
        <v>45</v>
      </c>
      <c r="X16" s="109" t="s">
        <v>326</v>
      </c>
    </row>
    <row r="17" spans="1:27" s="42" customFormat="1" ht="27.75" customHeight="1">
      <c r="A17" s="27">
        <f>+C16+1</f>
        <v>2</v>
      </c>
      <c r="B17" s="28" t="s">
        <v>32</v>
      </c>
      <c r="C17" s="27">
        <f t="shared" si="0"/>
        <v>3</v>
      </c>
      <c r="D17" s="27">
        <f t="shared" si="1"/>
        <v>2</v>
      </c>
      <c r="E17" s="83" t="str">
        <f t="shared" ref="E17" si="3">+$D$7</f>
        <v>Men's Short</v>
      </c>
      <c r="F17" s="31">
        <v>40</v>
      </c>
      <c r="G17" s="31"/>
      <c r="H17" s="31"/>
      <c r="I17" s="31"/>
      <c r="J17" s="31"/>
      <c r="K17" s="30"/>
      <c r="L17" s="30"/>
      <c r="M17" s="30"/>
      <c r="N17" s="28">
        <f t="shared" si="2"/>
        <v>40</v>
      </c>
      <c r="O17" s="28">
        <v>80</v>
      </c>
      <c r="P17" s="124"/>
      <c r="Q17" s="124"/>
      <c r="R17" s="125"/>
      <c r="S17" s="126"/>
      <c r="T17" s="82">
        <f>+ROUND(D17*U17*V17*W17/1000000,3)</f>
        <v>0.17799999999999999</v>
      </c>
      <c r="U17" s="94">
        <v>60</v>
      </c>
      <c r="V17" s="94">
        <v>33</v>
      </c>
      <c r="W17" s="94">
        <v>45</v>
      </c>
      <c r="X17" s="109" t="s">
        <v>326</v>
      </c>
    </row>
    <row r="18" spans="1:27" s="42" customFormat="1" ht="24" customHeight="1">
      <c r="A18" s="219" t="s">
        <v>33</v>
      </c>
      <c r="B18" s="220"/>
      <c r="C18" s="221"/>
      <c r="D18" s="44">
        <f>SUM(D16:D17)</f>
        <v>3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115</v>
      </c>
      <c r="P18" s="49"/>
      <c r="Q18" s="49"/>
      <c r="R18" s="51">
        <f>SUM(R16:R17)</f>
        <v>0</v>
      </c>
      <c r="S18" s="51">
        <f>SUM(S16:S17)</f>
        <v>0</v>
      </c>
      <c r="T18" s="51">
        <f>SUM(T16:T17)</f>
        <v>0.26700000000000002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7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18:C18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9"/>
  <sheetViews>
    <sheetView view="pageBreakPreview" zoomScale="73" zoomScaleNormal="80" zoomScaleSheetLayoutView="73" workbookViewId="0">
      <pane xSplit="5" ySplit="15" topLeftCell="F16" activePane="bottomRight" state="frozen"/>
      <selection activeCell="X17" sqref="X17"/>
      <selection pane="topRight" activeCell="X17" sqref="X17"/>
      <selection pane="bottomLeft" activeCell="X17" sqref="X17"/>
      <selection pane="bottomRight" activeCell="X17" sqref="X1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321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O19</f>
        <v>39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323</v>
      </c>
      <c r="G14" s="227" t="s">
        <v>304</v>
      </c>
      <c r="H14" s="227" t="s">
        <v>303</v>
      </c>
      <c r="I14" s="227" t="s">
        <v>315</v>
      </c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18" si="0">+A16+D16-1</f>
        <v>1</v>
      </c>
      <c r="D16" s="27">
        <f t="shared" ref="D16:D18" si="1">+O16/N16</f>
        <v>1</v>
      </c>
      <c r="E16" s="83" t="str">
        <f>+$D$7</f>
        <v>Ladies Coat</v>
      </c>
      <c r="F16" s="31">
        <v>8</v>
      </c>
      <c r="G16" s="31"/>
      <c r="H16" s="31">
        <v>5</v>
      </c>
      <c r="I16" s="31"/>
      <c r="J16" s="31"/>
      <c r="K16" s="30"/>
      <c r="L16" s="30"/>
      <c r="M16" s="30"/>
      <c r="N16" s="28">
        <f t="shared" ref="N16:N18" si="2">+SUM(F16:M16)</f>
        <v>13</v>
      </c>
      <c r="O16" s="28">
        <v>13</v>
      </c>
      <c r="P16" s="99"/>
      <c r="Q16" s="99"/>
      <c r="R16" s="105"/>
      <c r="S16" s="35"/>
      <c r="T16" s="82">
        <f>+ROUND(D16*U16*V16*W16/1000000,3)</f>
        <v>0.154</v>
      </c>
      <c r="U16" s="94">
        <v>77</v>
      </c>
      <c r="V16" s="94">
        <v>50</v>
      </c>
      <c r="W16" s="94">
        <v>40</v>
      </c>
      <c r="X16" s="109" t="s">
        <v>322</v>
      </c>
    </row>
    <row r="17" spans="1:27" s="42" customFormat="1" ht="27.75" customHeight="1">
      <c r="A17" s="27">
        <f>+C16+1</f>
        <v>2</v>
      </c>
      <c r="B17" s="28" t="s">
        <v>32</v>
      </c>
      <c r="C17" s="27">
        <f t="shared" si="0"/>
        <v>2</v>
      </c>
      <c r="D17" s="27">
        <f t="shared" si="1"/>
        <v>1</v>
      </c>
      <c r="E17" s="83" t="str">
        <f t="shared" ref="E17:E18" si="3">+$D$7</f>
        <v>Ladies Coat</v>
      </c>
      <c r="F17" s="31"/>
      <c r="G17" s="31">
        <v>15</v>
      </c>
      <c r="H17" s="31"/>
      <c r="I17" s="31"/>
      <c r="J17" s="31"/>
      <c r="K17" s="30"/>
      <c r="L17" s="30"/>
      <c r="M17" s="30"/>
      <c r="N17" s="28">
        <f t="shared" si="2"/>
        <v>15</v>
      </c>
      <c r="O17" s="28">
        <v>15</v>
      </c>
      <c r="P17" s="124"/>
      <c r="Q17" s="124"/>
      <c r="R17" s="125"/>
      <c r="S17" s="126"/>
      <c r="T17" s="82">
        <f>+ROUND(D17*U17*V17*W17/1000000,3)</f>
        <v>0.154</v>
      </c>
      <c r="U17" s="94">
        <v>77</v>
      </c>
      <c r="V17" s="94">
        <v>50</v>
      </c>
      <c r="W17" s="94">
        <v>40</v>
      </c>
      <c r="X17" s="109" t="s">
        <v>322</v>
      </c>
    </row>
    <row r="18" spans="1:27" s="42" customFormat="1" ht="27.75" customHeight="1">
      <c r="A18" s="27">
        <f t="shared" ref="A18" si="4">+C17+1</f>
        <v>3</v>
      </c>
      <c r="B18" s="28" t="s">
        <v>32</v>
      </c>
      <c r="C18" s="27">
        <f t="shared" si="0"/>
        <v>3</v>
      </c>
      <c r="D18" s="27">
        <f t="shared" si="1"/>
        <v>1</v>
      </c>
      <c r="E18" s="83" t="str">
        <f t="shared" si="3"/>
        <v>Ladies Coat</v>
      </c>
      <c r="F18" s="31"/>
      <c r="G18" s="31"/>
      <c r="H18" s="31"/>
      <c r="I18" s="31">
        <v>11</v>
      </c>
      <c r="J18" s="31"/>
      <c r="K18" s="30"/>
      <c r="L18" s="30"/>
      <c r="M18" s="30"/>
      <c r="N18" s="28">
        <f t="shared" si="2"/>
        <v>11</v>
      </c>
      <c r="O18" s="28">
        <v>11</v>
      </c>
      <c r="P18" s="99"/>
      <c r="Q18" s="99"/>
      <c r="R18" s="105"/>
      <c r="S18" s="35"/>
      <c r="T18" s="82">
        <f>+ROUND(D18*U18*V18*W18/1000000,3)</f>
        <v>0.154</v>
      </c>
      <c r="U18" s="94">
        <v>77</v>
      </c>
      <c r="V18" s="94">
        <v>50</v>
      </c>
      <c r="W18" s="94">
        <v>40</v>
      </c>
      <c r="X18" s="109" t="s">
        <v>322</v>
      </c>
    </row>
    <row r="19" spans="1:27" s="42" customFormat="1" ht="24" customHeight="1">
      <c r="A19" s="219" t="s">
        <v>33</v>
      </c>
      <c r="B19" s="220"/>
      <c r="C19" s="221"/>
      <c r="D19" s="44">
        <f>SUM(D16:D18)</f>
        <v>3</v>
      </c>
      <c r="E19" s="45"/>
      <c r="F19" s="47"/>
      <c r="G19" s="47"/>
      <c r="H19" s="47"/>
      <c r="I19" s="47"/>
      <c r="J19" s="47"/>
      <c r="K19" s="47"/>
      <c r="L19" s="47"/>
      <c r="M19" s="47"/>
      <c r="N19" s="48"/>
      <c r="O19" s="44">
        <f>SUM(O16:O18)</f>
        <v>39</v>
      </c>
      <c r="P19" s="49"/>
      <c r="Q19" s="49"/>
      <c r="R19" s="51">
        <f>SUM(R16:R18)</f>
        <v>0</v>
      </c>
      <c r="S19" s="51">
        <f>SUM(S16:S18)</f>
        <v>0</v>
      </c>
      <c r="T19" s="51">
        <f>SUM(T16:T18)</f>
        <v>0.46199999999999997</v>
      </c>
      <c r="U19" s="52"/>
      <c r="V19" s="3"/>
      <c r="W19" s="53"/>
      <c r="X19" s="8"/>
      <c r="AA19" s="110"/>
    </row>
    <row r="20" spans="1:27" s="42" customFormat="1" ht="12.75" customHeight="1">
      <c r="A20" s="54"/>
      <c r="B20" s="22"/>
      <c r="C20" s="22"/>
      <c r="D20" s="55"/>
      <c r="E20" s="55"/>
      <c r="F20" s="54"/>
      <c r="G20" s="54"/>
      <c r="H20" s="54"/>
      <c r="I20" s="54"/>
      <c r="J20" s="54"/>
      <c r="K20" s="54"/>
      <c r="L20" s="54"/>
      <c r="M20" s="54"/>
      <c r="N20" s="56"/>
      <c r="O20" s="57"/>
      <c r="P20" s="22"/>
      <c r="Q20" s="22"/>
      <c r="R20" s="57"/>
      <c r="S20" s="57"/>
      <c r="T20" s="58"/>
      <c r="U20" s="3"/>
      <c r="V20" s="3"/>
      <c r="W20" s="53"/>
      <c r="X20" s="8"/>
    </row>
    <row r="21" spans="1:27">
      <c r="S21" s="74"/>
    </row>
    <row r="24" spans="1:27">
      <c r="O24" s="75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O28" s="76"/>
      <c r="P28" s="76"/>
      <c r="Q28" s="76"/>
      <c r="R28" s="76"/>
    </row>
    <row r="29" spans="1:27">
      <c r="P29" s="76"/>
      <c r="Q29" s="76"/>
      <c r="R29" s="76"/>
    </row>
  </sheetData>
  <autoFilter ref="A15:CY18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19:C19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7"/>
  <sheetViews>
    <sheetView view="pageBreakPreview" zoomScale="73" zoomScaleNormal="80" zoomScaleSheetLayoutView="73" workbookViewId="0">
      <pane xSplit="5" ySplit="15" topLeftCell="F16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324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O17</f>
        <v>96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38" t="s">
        <v>17</v>
      </c>
      <c r="G13" s="239"/>
      <c r="H13" s="239"/>
      <c r="I13" s="239"/>
      <c r="J13" s="239"/>
      <c r="K13" s="239"/>
      <c r="L13" s="239"/>
      <c r="M13" s="240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>
        <v>40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" si="0">+A16+D16-1</f>
        <v>8</v>
      </c>
      <c r="D16" s="27">
        <f t="shared" ref="D16" si="1">+O16/N16</f>
        <v>8</v>
      </c>
      <c r="E16" s="83" t="str">
        <f>+$D$7</f>
        <v>Ladies Jacket</v>
      </c>
      <c r="F16" s="31">
        <v>12</v>
      </c>
      <c r="G16" s="31"/>
      <c r="H16" s="31"/>
      <c r="I16" s="31"/>
      <c r="J16" s="31"/>
      <c r="K16" s="30"/>
      <c r="L16" s="30"/>
      <c r="M16" s="30"/>
      <c r="N16" s="28">
        <f t="shared" ref="N16" si="2">+SUM(F16:M16)</f>
        <v>12</v>
      </c>
      <c r="O16" s="28">
        <v>96</v>
      </c>
      <c r="P16" s="99"/>
      <c r="Q16" s="99"/>
      <c r="R16" s="105"/>
      <c r="S16" s="35"/>
      <c r="T16" s="82">
        <f>+ROUND(D16*U16*V16*W16/1000000,3)</f>
        <v>1.296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4" customHeight="1">
      <c r="A17" s="219" t="s">
        <v>33</v>
      </c>
      <c r="B17" s="220"/>
      <c r="C17" s="221"/>
      <c r="D17" s="44">
        <f>SUM(D16:D16)</f>
        <v>8</v>
      </c>
      <c r="E17" s="45"/>
      <c r="F17" s="47"/>
      <c r="G17" s="47"/>
      <c r="H17" s="47"/>
      <c r="I17" s="47"/>
      <c r="J17" s="47"/>
      <c r="K17" s="47"/>
      <c r="L17" s="47"/>
      <c r="M17" s="47"/>
      <c r="N17" s="48"/>
      <c r="O17" s="44">
        <f>SUM(O16:O16)</f>
        <v>96</v>
      </c>
      <c r="P17" s="49"/>
      <c r="Q17" s="49"/>
      <c r="R17" s="51">
        <f>SUM(R16:R16)</f>
        <v>0</v>
      </c>
      <c r="S17" s="51">
        <f>SUM(S16:S16)</f>
        <v>0</v>
      </c>
      <c r="T17" s="51">
        <f>SUM(T16:T16)</f>
        <v>1.296</v>
      </c>
      <c r="U17" s="52"/>
      <c r="V17" s="3"/>
      <c r="W17" s="53"/>
      <c r="X17" s="8"/>
      <c r="AA17" s="110"/>
    </row>
    <row r="18" spans="1:27" s="42" customFormat="1" ht="12.75" customHeight="1">
      <c r="A18" s="54"/>
      <c r="B18" s="22"/>
      <c r="C18" s="22"/>
      <c r="D18" s="55"/>
      <c r="E18" s="55"/>
      <c r="F18" s="54"/>
      <c r="G18" s="54"/>
      <c r="H18" s="54"/>
      <c r="I18" s="54"/>
      <c r="J18" s="54"/>
      <c r="K18" s="54"/>
      <c r="L18" s="54"/>
      <c r="M18" s="54"/>
      <c r="N18" s="56"/>
      <c r="O18" s="57"/>
      <c r="P18" s="22"/>
      <c r="Q18" s="22"/>
      <c r="R18" s="57"/>
      <c r="S18" s="57"/>
      <c r="T18" s="58"/>
      <c r="U18" s="3"/>
      <c r="V18" s="3"/>
      <c r="W18" s="53"/>
      <c r="X18" s="8"/>
    </row>
    <row r="19" spans="1:27">
      <c r="S19" s="74"/>
    </row>
    <row r="22" spans="1:27">
      <c r="O22" s="75"/>
      <c r="P22" s="76"/>
      <c r="Q22" s="76"/>
      <c r="R22" s="76"/>
    </row>
    <row r="23" spans="1:27">
      <c r="O23" s="76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P27" s="76"/>
      <c r="Q27" s="76"/>
      <c r="R27" s="76"/>
    </row>
  </sheetData>
  <autoFilter ref="A15:CY16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17:C17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4"/>
  <sheetViews>
    <sheetView view="pageBreakPreview" zoomScale="73" zoomScaleNormal="80" zoomScaleSheetLayoutView="73" workbookViewId="0">
      <pane xSplit="5" ySplit="15" topLeftCell="F22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233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O24</f>
        <v>2691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 t="s">
        <v>304</v>
      </c>
      <c r="G14" s="227" t="s">
        <v>315</v>
      </c>
      <c r="H14" s="227" t="s">
        <v>316</v>
      </c>
      <c r="I14" s="227" t="s">
        <v>317</v>
      </c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23" si="0">+A16+D16-1</f>
        <v>3</v>
      </c>
      <c r="D16" s="27">
        <f t="shared" ref="D16:D23" si="1">+O16/N16</f>
        <v>3</v>
      </c>
      <c r="E16" s="83" t="str">
        <f>+$D$7</f>
        <v>Ladies Shirt</v>
      </c>
      <c r="F16" s="31">
        <v>100</v>
      </c>
      <c r="G16" s="31"/>
      <c r="H16" s="31"/>
      <c r="I16" s="31"/>
      <c r="J16" s="31"/>
      <c r="K16" s="30"/>
      <c r="L16" s="30"/>
      <c r="M16" s="30"/>
      <c r="N16" s="28">
        <f t="shared" ref="N16:N23" si="2">+SUM(F16:M16)</f>
        <v>100</v>
      </c>
      <c r="O16" s="28">
        <v>300</v>
      </c>
      <c r="P16" s="99"/>
      <c r="Q16" s="99"/>
      <c r="R16" s="105"/>
      <c r="S16" s="35"/>
      <c r="T16" s="82">
        <f t="shared" ref="T16:T23" si="3">+ROUND(D16*U16*V16*W16/1000000,3)</f>
        <v>0.46800000000000003</v>
      </c>
      <c r="U16" s="94">
        <v>100</v>
      </c>
      <c r="V16" s="94">
        <v>60</v>
      </c>
      <c r="W16" s="94">
        <v>26</v>
      </c>
      <c r="X16" s="109" t="s">
        <v>318</v>
      </c>
    </row>
    <row r="17" spans="1:27" s="42" customFormat="1" ht="27.75" customHeight="1">
      <c r="A17" s="27">
        <f>+C16+1</f>
        <v>4</v>
      </c>
      <c r="B17" s="28" t="s">
        <v>32</v>
      </c>
      <c r="C17" s="27">
        <f t="shared" si="0"/>
        <v>13</v>
      </c>
      <c r="D17" s="27">
        <f t="shared" si="1"/>
        <v>10</v>
      </c>
      <c r="E17" s="83" t="str">
        <f t="shared" ref="E17:E23" si="4">+$D$7</f>
        <v>Ladies Shirt</v>
      </c>
      <c r="F17" s="31"/>
      <c r="G17" s="31">
        <v>100</v>
      </c>
      <c r="H17" s="31"/>
      <c r="I17" s="31"/>
      <c r="J17" s="31"/>
      <c r="K17" s="30"/>
      <c r="L17" s="30"/>
      <c r="M17" s="30"/>
      <c r="N17" s="28">
        <f t="shared" si="2"/>
        <v>100</v>
      </c>
      <c r="O17" s="28">
        <v>1000</v>
      </c>
      <c r="P17" s="124"/>
      <c r="Q17" s="124"/>
      <c r="R17" s="125"/>
      <c r="S17" s="126"/>
      <c r="T17" s="82">
        <f t="shared" si="3"/>
        <v>1.56</v>
      </c>
      <c r="U17" s="94">
        <v>100</v>
      </c>
      <c r="V17" s="94">
        <v>60</v>
      </c>
      <c r="W17" s="94">
        <v>26</v>
      </c>
      <c r="X17" s="109" t="s">
        <v>318</v>
      </c>
    </row>
    <row r="18" spans="1:27" s="42" customFormat="1" ht="27.75" customHeight="1">
      <c r="A18" s="27">
        <f t="shared" ref="A18:A21" si="5">+C17+1</f>
        <v>14</v>
      </c>
      <c r="B18" s="28" t="s">
        <v>32</v>
      </c>
      <c r="C18" s="27">
        <f t="shared" si="0"/>
        <v>14</v>
      </c>
      <c r="D18" s="27">
        <f t="shared" si="1"/>
        <v>1</v>
      </c>
      <c r="E18" s="83" t="str">
        <f t="shared" si="4"/>
        <v>Ladies Shirt</v>
      </c>
      <c r="F18" s="31"/>
      <c r="G18" s="31"/>
      <c r="H18" s="31">
        <v>90</v>
      </c>
      <c r="I18" s="31"/>
      <c r="J18" s="31"/>
      <c r="K18" s="30"/>
      <c r="L18" s="30"/>
      <c r="M18" s="30"/>
      <c r="N18" s="28">
        <f t="shared" si="2"/>
        <v>90</v>
      </c>
      <c r="O18" s="28">
        <v>90</v>
      </c>
      <c r="P18" s="99"/>
      <c r="Q18" s="99"/>
      <c r="R18" s="105"/>
      <c r="S18" s="35"/>
      <c r="T18" s="82">
        <f t="shared" si="3"/>
        <v>0.156</v>
      </c>
      <c r="U18" s="94">
        <v>100</v>
      </c>
      <c r="V18" s="94">
        <v>60</v>
      </c>
      <c r="W18" s="94">
        <v>26</v>
      </c>
      <c r="X18" s="109" t="s">
        <v>318</v>
      </c>
    </row>
    <row r="19" spans="1:27" s="42" customFormat="1" ht="27.75" customHeight="1">
      <c r="A19" s="27">
        <f t="shared" si="5"/>
        <v>15</v>
      </c>
      <c r="B19" s="28" t="s">
        <v>32</v>
      </c>
      <c r="C19" s="27">
        <f t="shared" si="0"/>
        <v>25</v>
      </c>
      <c r="D19" s="27">
        <f t="shared" si="1"/>
        <v>11</v>
      </c>
      <c r="E19" s="83" t="str">
        <f t="shared" si="4"/>
        <v>Ladies Shirt</v>
      </c>
      <c r="F19" s="31"/>
      <c r="G19" s="31"/>
      <c r="H19" s="31"/>
      <c r="I19" s="31">
        <v>90</v>
      </c>
      <c r="J19" s="31"/>
      <c r="K19" s="30"/>
      <c r="L19" s="30"/>
      <c r="M19" s="30"/>
      <c r="N19" s="28">
        <f t="shared" si="2"/>
        <v>90</v>
      </c>
      <c r="O19" s="28">
        <v>990</v>
      </c>
      <c r="P19" s="99"/>
      <c r="Q19" s="99"/>
      <c r="R19" s="105"/>
      <c r="S19" s="35"/>
      <c r="T19" s="82">
        <f t="shared" si="3"/>
        <v>1.716</v>
      </c>
      <c r="U19" s="94">
        <v>100</v>
      </c>
      <c r="V19" s="94">
        <v>60</v>
      </c>
      <c r="W19" s="94">
        <v>26</v>
      </c>
      <c r="X19" s="109" t="s">
        <v>318</v>
      </c>
    </row>
    <row r="20" spans="1:27" s="42" customFormat="1" ht="27.75" customHeight="1">
      <c r="A20" s="27">
        <f t="shared" si="5"/>
        <v>26</v>
      </c>
      <c r="B20" s="28" t="s">
        <v>32</v>
      </c>
      <c r="C20" s="27">
        <f t="shared" si="0"/>
        <v>26</v>
      </c>
      <c r="D20" s="27">
        <f t="shared" si="1"/>
        <v>1</v>
      </c>
      <c r="E20" s="83" t="str">
        <f t="shared" si="4"/>
        <v>Ladies Shirt</v>
      </c>
      <c r="F20" s="31"/>
      <c r="G20" s="31"/>
      <c r="H20" s="31"/>
      <c r="I20" s="31">
        <v>31</v>
      </c>
      <c r="J20" s="31"/>
      <c r="K20" s="31"/>
      <c r="L20" s="30"/>
      <c r="M20" s="30"/>
      <c r="N20" s="28">
        <f t="shared" si="2"/>
        <v>31</v>
      </c>
      <c r="O20" s="28">
        <v>31</v>
      </c>
      <c r="P20" s="99"/>
      <c r="Q20" s="99"/>
      <c r="R20" s="105"/>
      <c r="S20" s="35"/>
      <c r="T20" s="82">
        <f t="shared" si="3"/>
        <v>0.156</v>
      </c>
      <c r="U20" s="94">
        <v>100</v>
      </c>
      <c r="V20" s="94">
        <v>60</v>
      </c>
      <c r="W20" s="94">
        <v>26</v>
      </c>
      <c r="X20" s="109" t="s">
        <v>318</v>
      </c>
    </row>
    <row r="21" spans="1:27" s="42" customFormat="1" ht="27.75" customHeight="1">
      <c r="A21" s="27">
        <f t="shared" si="5"/>
        <v>27</v>
      </c>
      <c r="B21" s="28" t="s">
        <v>32</v>
      </c>
      <c r="C21" s="27">
        <f t="shared" si="0"/>
        <v>27</v>
      </c>
      <c r="D21" s="27">
        <f t="shared" si="1"/>
        <v>1</v>
      </c>
      <c r="E21" s="83" t="str">
        <f t="shared" si="4"/>
        <v>Ladies Shirt</v>
      </c>
      <c r="F21" s="31">
        <v>60</v>
      </c>
      <c r="G21" s="31"/>
      <c r="H21" s="31"/>
      <c r="I21" s="31">
        <v>30</v>
      </c>
      <c r="J21" s="31"/>
      <c r="K21" s="31"/>
      <c r="L21" s="30"/>
      <c r="M21" s="30"/>
      <c r="N21" s="28">
        <f t="shared" si="2"/>
        <v>90</v>
      </c>
      <c r="O21" s="28">
        <v>90</v>
      </c>
      <c r="P21" s="99"/>
      <c r="Q21" s="99"/>
      <c r="R21" s="105"/>
      <c r="S21" s="35"/>
      <c r="T21" s="82">
        <f t="shared" si="3"/>
        <v>0.156</v>
      </c>
      <c r="U21" s="94">
        <v>100</v>
      </c>
      <c r="V21" s="94">
        <v>60</v>
      </c>
      <c r="W21" s="94">
        <v>26</v>
      </c>
      <c r="X21" s="109" t="s">
        <v>318</v>
      </c>
    </row>
    <row r="22" spans="1:27" s="42" customFormat="1" ht="27.75" customHeight="1">
      <c r="A22" s="27">
        <f>+C21+1</f>
        <v>28</v>
      </c>
      <c r="B22" s="28" t="s">
        <v>32</v>
      </c>
      <c r="C22" s="27">
        <f t="shared" si="0"/>
        <v>28</v>
      </c>
      <c r="D22" s="27">
        <f t="shared" si="1"/>
        <v>1</v>
      </c>
      <c r="E22" s="83" t="str">
        <f t="shared" si="4"/>
        <v>Ladies Shirt</v>
      </c>
      <c r="F22" s="31"/>
      <c r="G22" s="31"/>
      <c r="H22" s="31">
        <v>80</v>
      </c>
      <c r="I22" s="31">
        <v>10</v>
      </c>
      <c r="J22" s="31"/>
      <c r="K22" s="31"/>
      <c r="L22" s="31"/>
      <c r="M22" s="30"/>
      <c r="N22" s="28">
        <f t="shared" si="2"/>
        <v>90</v>
      </c>
      <c r="O22" s="28">
        <v>90</v>
      </c>
      <c r="P22" s="99"/>
      <c r="Q22" s="99"/>
      <c r="R22" s="105"/>
      <c r="S22" s="35"/>
      <c r="T22" s="82">
        <f t="shared" si="3"/>
        <v>0.156</v>
      </c>
      <c r="U22" s="94">
        <v>100</v>
      </c>
      <c r="V22" s="94">
        <v>60</v>
      </c>
      <c r="W22" s="94">
        <v>26</v>
      </c>
      <c r="X22" s="109" t="s">
        <v>318</v>
      </c>
    </row>
    <row r="23" spans="1:27" s="42" customFormat="1" ht="27.75" customHeight="1">
      <c r="A23" s="27">
        <f>+C22+1</f>
        <v>29</v>
      </c>
      <c r="B23" s="28" t="s">
        <v>32</v>
      </c>
      <c r="C23" s="27">
        <f t="shared" si="0"/>
        <v>29</v>
      </c>
      <c r="D23" s="27">
        <f t="shared" si="1"/>
        <v>1</v>
      </c>
      <c r="E23" s="83" t="str">
        <f t="shared" si="4"/>
        <v>Ladies Shirt</v>
      </c>
      <c r="F23" s="31">
        <v>60</v>
      </c>
      <c r="G23" s="31">
        <v>40</v>
      </c>
      <c r="H23" s="31"/>
      <c r="I23" s="31"/>
      <c r="J23" s="31"/>
      <c r="K23" s="31"/>
      <c r="L23" s="31"/>
      <c r="M23" s="30"/>
      <c r="N23" s="28">
        <f t="shared" si="2"/>
        <v>100</v>
      </c>
      <c r="O23" s="28">
        <v>100</v>
      </c>
      <c r="P23" s="99"/>
      <c r="Q23" s="99"/>
      <c r="R23" s="105"/>
      <c r="S23" s="35"/>
      <c r="T23" s="82">
        <f t="shared" si="3"/>
        <v>0.156</v>
      </c>
      <c r="U23" s="94">
        <v>100</v>
      </c>
      <c r="V23" s="94">
        <v>60</v>
      </c>
      <c r="W23" s="94">
        <v>26</v>
      </c>
      <c r="X23" s="109" t="s">
        <v>318</v>
      </c>
    </row>
    <row r="24" spans="1:27" s="42" customFormat="1" ht="24" customHeight="1">
      <c r="A24" s="219" t="s">
        <v>33</v>
      </c>
      <c r="B24" s="220"/>
      <c r="C24" s="221"/>
      <c r="D24" s="44">
        <f>SUM(D16:D23)</f>
        <v>29</v>
      </c>
      <c r="E24" s="45"/>
      <c r="F24" s="47"/>
      <c r="G24" s="47"/>
      <c r="H24" s="47"/>
      <c r="I24" s="47"/>
      <c r="J24" s="47"/>
      <c r="K24" s="47"/>
      <c r="L24" s="47"/>
      <c r="M24" s="47"/>
      <c r="N24" s="48"/>
      <c r="O24" s="44">
        <f>SUM(O16:O23)</f>
        <v>2691</v>
      </c>
      <c r="P24" s="49"/>
      <c r="Q24" s="49"/>
      <c r="R24" s="51">
        <f>SUM(R16:R23)</f>
        <v>0</v>
      </c>
      <c r="S24" s="51">
        <f t="shared" ref="S24:T24" si="6">SUM(S16:S23)</f>
        <v>0</v>
      </c>
      <c r="T24" s="51">
        <f t="shared" si="6"/>
        <v>4.5239999999999991</v>
      </c>
      <c r="U24" s="52"/>
      <c r="V24" s="3"/>
      <c r="W24" s="53"/>
      <c r="X24" s="8"/>
      <c r="AA24" s="110"/>
    </row>
    <row r="25" spans="1:27" s="42" customFormat="1" ht="12.75" customHeight="1">
      <c r="A25" s="54"/>
      <c r="B25" s="22"/>
      <c r="C25" s="22"/>
      <c r="D25" s="55"/>
      <c r="E25" s="55"/>
      <c r="F25" s="54"/>
      <c r="G25" s="54"/>
      <c r="H25" s="54"/>
      <c r="I25" s="54"/>
      <c r="J25" s="54"/>
      <c r="K25" s="54"/>
      <c r="L25" s="54"/>
      <c r="M25" s="54"/>
      <c r="N25" s="56"/>
      <c r="O25" s="57"/>
      <c r="P25" s="22"/>
      <c r="Q25" s="22"/>
      <c r="R25" s="57"/>
      <c r="S25" s="57"/>
      <c r="T25" s="58"/>
      <c r="U25" s="3"/>
      <c r="V25" s="3"/>
      <c r="W25" s="53"/>
      <c r="X25" s="8"/>
    </row>
    <row r="26" spans="1:27">
      <c r="S26" s="74"/>
    </row>
    <row r="29" spans="1:27">
      <c r="O29" s="75"/>
      <c r="P29" s="76"/>
      <c r="Q29" s="76"/>
      <c r="R29" s="76"/>
    </row>
    <row r="30" spans="1:27">
      <c r="O30" s="76"/>
      <c r="P30" s="76"/>
      <c r="Q30" s="76"/>
      <c r="R30" s="76"/>
    </row>
    <row r="31" spans="1:27">
      <c r="O31" s="76"/>
      <c r="P31" s="76"/>
      <c r="Q31" s="76"/>
      <c r="R31" s="76"/>
    </row>
    <row r="32" spans="1:27">
      <c r="O32" s="76"/>
      <c r="P32" s="76"/>
      <c r="Q32" s="76"/>
      <c r="R32" s="76"/>
    </row>
    <row r="33" spans="15:18">
      <c r="O33" s="76"/>
      <c r="P33" s="76"/>
      <c r="Q33" s="76"/>
      <c r="R33" s="76"/>
    </row>
    <row r="34" spans="15:18">
      <c r="P34" s="76"/>
      <c r="Q34" s="76"/>
      <c r="R34" s="76"/>
    </row>
  </sheetData>
  <autoFilter ref="A15:CY20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24:C24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8"/>
  <sheetViews>
    <sheetView view="pageBreakPreview" zoomScale="73" zoomScaleNormal="80" zoomScaleSheetLayoutView="73" workbookViewId="0">
      <pane xSplit="5" ySplit="15" topLeftCell="F16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3" width="7" style="73" hidden="1" customWidth="1"/>
    <col min="14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334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O18</f>
        <v>148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227">
        <v>8</v>
      </c>
      <c r="G14" s="227"/>
      <c r="H14" s="227"/>
      <c r="I14" s="227"/>
      <c r="J14" s="227"/>
      <c r="K14" s="227"/>
      <c r="L14" s="227"/>
      <c r="M14" s="269" t="s">
        <v>28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12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" si="0">+A16+D16-1</f>
        <v>2</v>
      </c>
      <c r="D16" s="27">
        <f t="shared" ref="D16" si="1">+O16/N16</f>
        <v>2</v>
      </c>
      <c r="E16" s="83" t="str">
        <f>+$D$7</f>
        <v xml:space="preserve">Ladies Pants </v>
      </c>
      <c r="F16" s="31">
        <v>50</v>
      </c>
      <c r="G16" s="31"/>
      <c r="H16" s="31"/>
      <c r="I16" s="31"/>
      <c r="J16" s="31"/>
      <c r="K16" s="30"/>
      <c r="L16" s="30"/>
      <c r="M16" s="30"/>
      <c r="N16" s="28">
        <f t="shared" ref="N16" si="2">+SUM(F16:M16)</f>
        <v>50</v>
      </c>
      <c r="O16" s="28">
        <v>100</v>
      </c>
      <c r="P16" s="99"/>
      <c r="Q16" s="99"/>
      <c r="R16" s="105"/>
      <c r="S16" s="35"/>
      <c r="T16" s="82">
        <f>+ROUND(D16*U16*V16*W16/1000000,3)</f>
        <v>0.17799999999999999</v>
      </c>
      <c r="U16" s="94">
        <v>60</v>
      </c>
      <c r="V16" s="94">
        <v>33</v>
      </c>
      <c r="W16" s="94">
        <v>45</v>
      </c>
      <c r="X16" s="109" t="s">
        <v>326</v>
      </c>
    </row>
    <row r="17" spans="1:27" s="42" customFormat="1" ht="27.75" customHeight="1">
      <c r="A17" s="27">
        <v>1</v>
      </c>
      <c r="B17" s="28" t="s">
        <v>32</v>
      </c>
      <c r="C17" s="27">
        <f t="shared" ref="C17" si="3">+A17+D17-1</f>
        <v>1</v>
      </c>
      <c r="D17" s="27">
        <f t="shared" ref="D17" si="4">+O17/N17</f>
        <v>1</v>
      </c>
      <c r="E17" s="83" t="str">
        <f>+$D$7</f>
        <v xml:space="preserve">Ladies Pants </v>
      </c>
      <c r="F17" s="31">
        <v>48</v>
      </c>
      <c r="G17" s="31"/>
      <c r="H17" s="31"/>
      <c r="I17" s="31"/>
      <c r="J17" s="31"/>
      <c r="K17" s="30"/>
      <c r="L17" s="30"/>
      <c r="M17" s="30"/>
      <c r="N17" s="28">
        <f t="shared" ref="N17" si="5">+SUM(F17:M17)</f>
        <v>48</v>
      </c>
      <c r="O17" s="28">
        <v>48</v>
      </c>
      <c r="P17" s="99"/>
      <c r="Q17" s="99"/>
      <c r="R17" s="105"/>
      <c r="S17" s="35"/>
      <c r="T17" s="82">
        <f>+ROUND(D17*U17*V17*W17/1000000,3)</f>
        <v>8.8999999999999996E-2</v>
      </c>
      <c r="U17" s="94">
        <v>60</v>
      </c>
      <c r="V17" s="94">
        <v>33</v>
      </c>
      <c r="W17" s="94">
        <v>45</v>
      </c>
      <c r="X17" s="109" t="s">
        <v>326</v>
      </c>
    </row>
    <row r="18" spans="1:27" s="42" customFormat="1" ht="24" customHeight="1">
      <c r="A18" s="219" t="s">
        <v>33</v>
      </c>
      <c r="B18" s="220"/>
      <c r="C18" s="221"/>
      <c r="D18" s="44">
        <f>SUM(D16:D17)</f>
        <v>3</v>
      </c>
      <c r="E18" s="45"/>
      <c r="F18" s="47"/>
      <c r="G18" s="47"/>
      <c r="H18" s="47"/>
      <c r="I18" s="47"/>
      <c r="J18" s="47"/>
      <c r="K18" s="47"/>
      <c r="L18" s="47"/>
      <c r="M18" s="47"/>
      <c r="N18" s="48"/>
      <c r="O18" s="44">
        <f>SUM(O16:O17)</f>
        <v>148</v>
      </c>
      <c r="P18" s="49"/>
      <c r="Q18" s="49"/>
      <c r="R18" s="51">
        <f t="shared" ref="R18:T18" si="6">SUM(R16:R17)</f>
        <v>0</v>
      </c>
      <c r="S18" s="51">
        <f t="shared" si="6"/>
        <v>0</v>
      </c>
      <c r="T18" s="51">
        <f t="shared" si="6"/>
        <v>0.26700000000000002</v>
      </c>
      <c r="U18" s="52"/>
      <c r="V18" s="3"/>
      <c r="W18" s="53"/>
      <c r="X18" s="8"/>
      <c r="AA18" s="110"/>
    </row>
    <row r="19" spans="1:27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6"/>
      <c r="O19" s="57"/>
      <c r="P19" s="22"/>
      <c r="Q19" s="22"/>
      <c r="R19" s="57"/>
      <c r="S19" s="57"/>
      <c r="T19" s="58"/>
      <c r="U19" s="3"/>
      <c r="V19" s="3"/>
      <c r="W19" s="53"/>
      <c r="X19" s="8"/>
    </row>
    <row r="20" spans="1:27">
      <c r="S20" s="74"/>
    </row>
    <row r="23" spans="1:27">
      <c r="O23" s="75"/>
      <c r="P23" s="76"/>
      <c r="Q23" s="76"/>
      <c r="R23" s="76"/>
    </row>
    <row r="24" spans="1:27">
      <c r="O24" s="76"/>
      <c r="P24" s="76"/>
      <c r="Q24" s="76"/>
      <c r="R24" s="76"/>
    </row>
    <row r="25" spans="1:27">
      <c r="O25" s="76"/>
      <c r="P25" s="76"/>
      <c r="Q25" s="76"/>
      <c r="R25" s="76"/>
    </row>
    <row r="26" spans="1:27">
      <c r="O26" s="76"/>
      <c r="P26" s="76"/>
      <c r="Q26" s="76"/>
      <c r="R26" s="76"/>
    </row>
    <row r="27" spans="1:27">
      <c r="O27" s="76"/>
      <c r="P27" s="76"/>
      <c r="Q27" s="76"/>
      <c r="R27" s="76"/>
    </row>
    <row r="28" spans="1:27">
      <c r="P28" s="76"/>
      <c r="Q28" s="76"/>
      <c r="R28" s="76"/>
    </row>
  </sheetData>
  <autoFilter ref="A15:CY16">
    <filterColumn colId="0" showButton="0"/>
    <filterColumn colId="1" showButton="0"/>
  </autoFilter>
  <mergeCells count="25">
    <mergeCell ref="A18:C18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  <mergeCell ref="C12:D12"/>
    <mergeCell ref="A13:C15"/>
    <mergeCell ref="D13:D15"/>
    <mergeCell ref="E13:E15"/>
    <mergeCell ref="F13:M13"/>
    <mergeCell ref="L14:L15"/>
    <mergeCell ref="M14:M15"/>
    <mergeCell ref="D10:E10"/>
    <mergeCell ref="A1:W1"/>
    <mergeCell ref="A2:W2"/>
    <mergeCell ref="A3:W3"/>
    <mergeCell ref="A4:W4"/>
    <mergeCell ref="A6:W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9"/>
  <sheetViews>
    <sheetView view="pageBreakPreview" zoomScale="73" zoomScaleNormal="80" zoomScaleSheetLayoutView="73" workbookViewId="0">
      <pane xSplit="5" ySplit="15" topLeftCell="F25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2" width="7" style="73" customWidth="1"/>
    <col min="13" max="14" width="7.7109375" style="73" customWidth="1"/>
    <col min="15" max="15" width="11.42578125" style="73" customWidth="1"/>
    <col min="16" max="16" width="8.7109375" style="73" customWidth="1"/>
    <col min="17" max="17" width="7.42578125" style="73" customWidth="1"/>
    <col min="18" max="18" width="9.7109375" style="73" customWidth="1"/>
    <col min="19" max="19" width="9.85546875" style="73" customWidth="1"/>
    <col min="20" max="20" width="14" style="73" customWidth="1"/>
    <col min="21" max="22" width="11.28515625" style="73" customWidth="1"/>
    <col min="23" max="23" width="9.140625" style="73" customWidth="1"/>
    <col min="24" max="24" width="28.7109375" style="73" customWidth="1"/>
    <col min="25" max="245" width="9.140625" style="73"/>
    <col min="246" max="246" width="6.85546875" style="73" customWidth="1"/>
    <col min="247" max="247" width="2.140625" style="73" customWidth="1"/>
    <col min="248" max="248" width="6.140625" style="73" customWidth="1"/>
    <col min="249" max="249" width="8.85546875" style="73" customWidth="1"/>
    <col min="250" max="250" width="28.42578125" style="73" customWidth="1"/>
    <col min="251" max="251" width="13.85546875" style="73" customWidth="1"/>
    <col min="252" max="252" width="8.42578125" style="73" customWidth="1"/>
    <col min="253" max="256" width="0" style="73" hidden="1" customWidth="1"/>
    <col min="257" max="257" width="5.28515625" style="73" customWidth="1"/>
    <col min="258" max="258" width="5.5703125" style="73" customWidth="1"/>
    <col min="259" max="259" width="6" style="73" customWidth="1"/>
    <col min="260" max="260" width="5.5703125" style="73" customWidth="1"/>
    <col min="261" max="262" width="5.7109375" style="73" customWidth="1"/>
    <col min="263" max="263" width="9.85546875" style="73" customWidth="1"/>
    <col min="264" max="264" width="9.7109375" style="73" customWidth="1"/>
    <col min="265" max="265" width="8.85546875" style="73" customWidth="1"/>
    <col min="266" max="266" width="10" style="73" customWidth="1"/>
    <col min="267" max="267" width="8.28515625" style="73" customWidth="1"/>
    <col min="268" max="268" width="9.5703125" style="73" customWidth="1"/>
    <col min="269" max="269" width="15.5703125" style="73" customWidth="1"/>
    <col min="270" max="501" width="9.140625" style="73"/>
    <col min="502" max="502" width="6.85546875" style="73" customWidth="1"/>
    <col min="503" max="503" width="2.140625" style="73" customWidth="1"/>
    <col min="504" max="504" width="6.140625" style="73" customWidth="1"/>
    <col min="505" max="505" width="8.85546875" style="73" customWidth="1"/>
    <col min="506" max="506" width="28.42578125" style="73" customWidth="1"/>
    <col min="507" max="507" width="13.85546875" style="73" customWidth="1"/>
    <col min="508" max="508" width="8.42578125" style="73" customWidth="1"/>
    <col min="509" max="512" width="0" style="73" hidden="1" customWidth="1"/>
    <col min="513" max="513" width="5.28515625" style="73" customWidth="1"/>
    <col min="514" max="514" width="5.5703125" style="73" customWidth="1"/>
    <col min="515" max="515" width="6" style="73" customWidth="1"/>
    <col min="516" max="516" width="5.5703125" style="73" customWidth="1"/>
    <col min="517" max="518" width="5.7109375" style="73" customWidth="1"/>
    <col min="519" max="519" width="9.85546875" style="73" customWidth="1"/>
    <col min="520" max="520" width="9.7109375" style="73" customWidth="1"/>
    <col min="521" max="521" width="8.85546875" style="73" customWidth="1"/>
    <col min="522" max="522" width="10" style="73" customWidth="1"/>
    <col min="523" max="523" width="8.28515625" style="73" customWidth="1"/>
    <col min="524" max="524" width="9.5703125" style="73" customWidth="1"/>
    <col min="525" max="525" width="15.5703125" style="73" customWidth="1"/>
    <col min="526" max="757" width="9.140625" style="73"/>
    <col min="758" max="758" width="6.85546875" style="73" customWidth="1"/>
    <col min="759" max="759" width="2.140625" style="73" customWidth="1"/>
    <col min="760" max="760" width="6.140625" style="73" customWidth="1"/>
    <col min="761" max="761" width="8.85546875" style="73" customWidth="1"/>
    <col min="762" max="762" width="28.42578125" style="73" customWidth="1"/>
    <col min="763" max="763" width="13.85546875" style="73" customWidth="1"/>
    <col min="764" max="764" width="8.42578125" style="73" customWidth="1"/>
    <col min="765" max="768" width="0" style="73" hidden="1" customWidth="1"/>
    <col min="769" max="769" width="5.28515625" style="73" customWidth="1"/>
    <col min="770" max="770" width="5.5703125" style="73" customWidth="1"/>
    <col min="771" max="771" width="6" style="73" customWidth="1"/>
    <col min="772" max="772" width="5.5703125" style="73" customWidth="1"/>
    <col min="773" max="774" width="5.7109375" style="73" customWidth="1"/>
    <col min="775" max="775" width="9.85546875" style="73" customWidth="1"/>
    <col min="776" max="776" width="9.7109375" style="73" customWidth="1"/>
    <col min="777" max="777" width="8.85546875" style="73" customWidth="1"/>
    <col min="778" max="778" width="10" style="73" customWidth="1"/>
    <col min="779" max="779" width="8.28515625" style="73" customWidth="1"/>
    <col min="780" max="780" width="9.5703125" style="73" customWidth="1"/>
    <col min="781" max="781" width="15.5703125" style="73" customWidth="1"/>
    <col min="782" max="1013" width="9.140625" style="73"/>
    <col min="1014" max="1014" width="6.85546875" style="73" customWidth="1"/>
    <col min="1015" max="1015" width="2.140625" style="73" customWidth="1"/>
    <col min="1016" max="1016" width="6.140625" style="73" customWidth="1"/>
    <col min="1017" max="1017" width="8.85546875" style="73" customWidth="1"/>
    <col min="1018" max="1018" width="28.42578125" style="73" customWidth="1"/>
    <col min="1019" max="1019" width="13.85546875" style="73" customWidth="1"/>
    <col min="1020" max="1020" width="8.42578125" style="73" customWidth="1"/>
    <col min="1021" max="1024" width="0" style="73" hidden="1" customWidth="1"/>
    <col min="1025" max="1025" width="5.28515625" style="73" customWidth="1"/>
    <col min="1026" max="1026" width="5.5703125" style="73" customWidth="1"/>
    <col min="1027" max="1027" width="6" style="73" customWidth="1"/>
    <col min="1028" max="1028" width="5.5703125" style="73" customWidth="1"/>
    <col min="1029" max="1030" width="5.7109375" style="73" customWidth="1"/>
    <col min="1031" max="1031" width="9.85546875" style="73" customWidth="1"/>
    <col min="1032" max="1032" width="9.7109375" style="73" customWidth="1"/>
    <col min="1033" max="1033" width="8.85546875" style="73" customWidth="1"/>
    <col min="1034" max="1034" width="10" style="73" customWidth="1"/>
    <col min="1035" max="1035" width="8.28515625" style="73" customWidth="1"/>
    <col min="1036" max="1036" width="9.5703125" style="73" customWidth="1"/>
    <col min="1037" max="1037" width="15.5703125" style="73" customWidth="1"/>
    <col min="1038" max="1269" width="9.140625" style="73"/>
    <col min="1270" max="1270" width="6.85546875" style="73" customWidth="1"/>
    <col min="1271" max="1271" width="2.140625" style="73" customWidth="1"/>
    <col min="1272" max="1272" width="6.140625" style="73" customWidth="1"/>
    <col min="1273" max="1273" width="8.85546875" style="73" customWidth="1"/>
    <col min="1274" max="1274" width="28.42578125" style="73" customWidth="1"/>
    <col min="1275" max="1275" width="13.85546875" style="73" customWidth="1"/>
    <col min="1276" max="1276" width="8.42578125" style="73" customWidth="1"/>
    <col min="1277" max="1280" width="0" style="73" hidden="1" customWidth="1"/>
    <col min="1281" max="1281" width="5.28515625" style="73" customWidth="1"/>
    <col min="1282" max="1282" width="5.5703125" style="73" customWidth="1"/>
    <col min="1283" max="1283" width="6" style="73" customWidth="1"/>
    <col min="1284" max="1284" width="5.5703125" style="73" customWidth="1"/>
    <col min="1285" max="1286" width="5.7109375" style="73" customWidth="1"/>
    <col min="1287" max="1287" width="9.85546875" style="73" customWidth="1"/>
    <col min="1288" max="1288" width="9.7109375" style="73" customWidth="1"/>
    <col min="1289" max="1289" width="8.85546875" style="73" customWidth="1"/>
    <col min="1290" max="1290" width="10" style="73" customWidth="1"/>
    <col min="1291" max="1291" width="8.28515625" style="73" customWidth="1"/>
    <col min="1292" max="1292" width="9.5703125" style="73" customWidth="1"/>
    <col min="1293" max="1293" width="15.5703125" style="73" customWidth="1"/>
    <col min="1294" max="1525" width="9.140625" style="73"/>
    <col min="1526" max="1526" width="6.85546875" style="73" customWidth="1"/>
    <col min="1527" max="1527" width="2.140625" style="73" customWidth="1"/>
    <col min="1528" max="1528" width="6.140625" style="73" customWidth="1"/>
    <col min="1529" max="1529" width="8.85546875" style="73" customWidth="1"/>
    <col min="1530" max="1530" width="28.42578125" style="73" customWidth="1"/>
    <col min="1531" max="1531" width="13.85546875" style="73" customWidth="1"/>
    <col min="1532" max="1532" width="8.42578125" style="73" customWidth="1"/>
    <col min="1533" max="1536" width="0" style="73" hidden="1" customWidth="1"/>
    <col min="1537" max="1537" width="5.28515625" style="73" customWidth="1"/>
    <col min="1538" max="1538" width="5.5703125" style="73" customWidth="1"/>
    <col min="1539" max="1539" width="6" style="73" customWidth="1"/>
    <col min="1540" max="1540" width="5.5703125" style="73" customWidth="1"/>
    <col min="1541" max="1542" width="5.7109375" style="73" customWidth="1"/>
    <col min="1543" max="1543" width="9.85546875" style="73" customWidth="1"/>
    <col min="1544" max="1544" width="9.7109375" style="73" customWidth="1"/>
    <col min="1545" max="1545" width="8.85546875" style="73" customWidth="1"/>
    <col min="1546" max="1546" width="10" style="73" customWidth="1"/>
    <col min="1547" max="1547" width="8.28515625" style="73" customWidth="1"/>
    <col min="1548" max="1548" width="9.5703125" style="73" customWidth="1"/>
    <col min="1549" max="1549" width="15.5703125" style="73" customWidth="1"/>
    <col min="1550" max="1781" width="9.140625" style="73"/>
    <col min="1782" max="1782" width="6.85546875" style="73" customWidth="1"/>
    <col min="1783" max="1783" width="2.140625" style="73" customWidth="1"/>
    <col min="1784" max="1784" width="6.140625" style="73" customWidth="1"/>
    <col min="1785" max="1785" width="8.85546875" style="73" customWidth="1"/>
    <col min="1786" max="1786" width="28.42578125" style="73" customWidth="1"/>
    <col min="1787" max="1787" width="13.85546875" style="73" customWidth="1"/>
    <col min="1788" max="1788" width="8.42578125" style="73" customWidth="1"/>
    <col min="1789" max="1792" width="0" style="73" hidden="1" customWidth="1"/>
    <col min="1793" max="1793" width="5.28515625" style="73" customWidth="1"/>
    <col min="1794" max="1794" width="5.5703125" style="73" customWidth="1"/>
    <col min="1795" max="1795" width="6" style="73" customWidth="1"/>
    <col min="1796" max="1796" width="5.5703125" style="73" customWidth="1"/>
    <col min="1797" max="1798" width="5.7109375" style="73" customWidth="1"/>
    <col min="1799" max="1799" width="9.85546875" style="73" customWidth="1"/>
    <col min="1800" max="1800" width="9.7109375" style="73" customWidth="1"/>
    <col min="1801" max="1801" width="8.85546875" style="73" customWidth="1"/>
    <col min="1802" max="1802" width="10" style="73" customWidth="1"/>
    <col min="1803" max="1803" width="8.28515625" style="73" customWidth="1"/>
    <col min="1804" max="1804" width="9.5703125" style="73" customWidth="1"/>
    <col min="1805" max="1805" width="15.5703125" style="73" customWidth="1"/>
    <col min="1806" max="2037" width="9.140625" style="73"/>
    <col min="2038" max="2038" width="6.85546875" style="73" customWidth="1"/>
    <col min="2039" max="2039" width="2.140625" style="73" customWidth="1"/>
    <col min="2040" max="2040" width="6.140625" style="73" customWidth="1"/>
    <col min="2041" max="2041" width="8.85546875" style="73" customWidth="1"/>
    <col min="2042" max="2042" width="28.42578125" style="73" customWidth="1"/>
    <col min="2043" max="2043" width="13.85546875" style="73" customWidth="1"/>
    <col min="2044" max="2044" width="8.42578125" style="73" customWidth="1"/>
    <col min="2045" max="2048" width="0" style="73" hidden="1" customWidth="1"/>
    <col min="2049" max="2049" width="5.28515625" style="73" customWidth="1"/>
    <col min="2050" max="2050" width="5.5703125" style="73" customWidth="1"/>
    <col min="2051" max="2051" width="6" style="73" customWidth="1"/>
    <col min="2052" max="2052" width="5.5703125" style="73" customWidth="1"/>
    <col min="2053" max="2054" width="5.7109375" style="73" customWidth="1"/>
    <col min="2055" max="2055" width="9.85546875" style="73" customWidth="1"/>
    <col min="2056" max="2056" width="9.7109375" style="73" customWidth="1"/>
    <col min="2057" max="2057" width="8.85546875" style="73" customWidth="1"/>
    <col min="2058" max="2058" width="10" style="73" customWidth="1"/>
    <col min="2059" max="2059" width="8.28515625" style="73" customWidth="1"/>
    <col min="2060" max="2060" width="9.5703125" style="73" customWidth="1"/>
    <col min="2061" max="2061" width="15.5703125" style="73" customWidth="1"/>
    <col min="2062" max="2293" width="9.140625" style="73"/>
    <col min="2294" max="2294" width="6.85546875" style="73" customWidth="1"/>
    <col min="2295" max="2295" width="2.140625" style="73" customWidth="1"/>
    <col min="2296" max="2296" width="6.140625" style="73" customWidth="1"/>
    <col min="2297" max="2297" width="8.85546875" style="73" customWidth="1"/>
    <col min="2298" max="2298" width="28.42578125" style="73" customWidth="1"/>
    <col min="2299" max="2299" width="13.85546875" style="73" customWidth="1"/>
    <col min="2300" max="2300" width="8.42578125" style="73" customWidth="1"/>
    <col min="2301" max="2304" width="0" style="73" hidden="1" customWidth="1"/>
    <col min="2305" max="2305" width="5.28515625" style="73" customWidth="1"/>
    <col min="2306" max="2306" width="5.5703125" style="73" customWidth="1"/>
    <col min="2307" max="2307" width="6" style="73" customWidth="1"/>
    <col min="2308" max="2308" width="5.5703125" style="73" customWidth="1"/>
    <col min="2309" max="2310" width="5.7109375" style="73" customWidth="1"/>
    <col min="2311" max="2311" width="9.85546875" style="73" customWidth="1"/>
    <col min="2312" max="2312" width="9.7109375" style="73" customWidth="1"/>
    <col min="2313" max="2313" width="8.85546875" style="73" customWidth="1"/>
    <col min="2314" max="2314" width="10" style="73" customWidth="1"/>
    <col min="2315" max="2315" width="8.28515625" style="73" customWidth="1"/>
    <col min="2316" max="2316" width="9.5703125" style="73" customWidth="1"/>
    <col min="2317" max="2317" width="15.5703125" style="73" customWidth="1"/>
    <col min="2318" max="2549" width="9.140625" style="73"/>
    <col min="2550" max="2550" width="6.85546875" style="73" customWidth="1"/>
    <col min="2551" max="2551" width="2.140625" style="73" customWidth="1"/>
    <col min="2552" max="2552" width="6.140625" style="73" customWidth="1"/>
    <col min="2553" max="2553" width="8.85546875" style="73" customWidth="1"/>
    <col min="2554" max="2554" width="28.42578125" style="73" customWidth="1"/>
    <col min="2555" max="2555" width="13.85546875" style="73" customWidth="1"/>
    <col min="2556" max="2556" width="8.42578125" style="73" customWidth="1"/>
    <col min="2557" max="2560" width="0" style="73" hidden="1" customWidth="1"/>
    <col min="2561" max="2561" width="5.28515625" style="73" customWidth="1"/>
    <col min="2562" max="2562" width="5.5703125" style="73" customWidth="1"/>
    <col min="2563" max="2563" width="6" style="73" customWidth="1"/>
    <col min="2564" max="2564" width="5.5703125" style="73" customWidth="1"/>
    <col min="2565" max="2566" width="5.7109375" style="73" customWidth="1"/>
    <col min="2567" max="2567" width="9.85546875" style="73" customWidth="1"/>
    <col min="2568" max="2568" width="9.7109375" style="73" customWidth="1"/>
    <col min="2569" max="2569" width="8.85546875" style="73" customWidth="1"/>
    <col min="2570" max="2570" width="10" style="73" customWidth="1"/>
    <col min="2571" max="2571" width="8.28515625" style="73" customWidth="1"/>
    <col min="2572" max="2572" width="9.5703125" style="73" customWidth="1"/>
    <col min="2573" max="2573" width="15.5703125" style="73" customWidth="1"/>
    <col min="2574" max="2805" width="9.140625" style="73"/>
    <col min="2806" max="2806" width="6.85546875" style="73" customWidth="1"/>
    <col min="2807" max="2807" width="2.140625" style="73" customWidth="1"/>
    <col min="2808" max="2808" width="6.140625" style="73" customWidth="1"/>
    <col min="2809" max="2809" width="8.85546875" style="73" customWidth="1"/>
    <col min="2810" max="2810" width="28.42578125" style="73" customWidth="1"/>
    <col min="2811" max="2811" width="13.85546875" style="73" customWidth="1"/>
    <col min="2812" max="2812" width="8.42578125" style="73" customWidth="1"/>
    <col min="2813" max="2816" width="0" style="73" hidden="1" customWidth="1"/>
    <col min="2817" max="2817" width="5.28515625" style="73" customWidth="1"/>
    <col min="2818" max="2818" width="5.5703125" style="73" customWidth="1"/>
    <col min="2819" max="2819" width="6" style="73" customWidth="1"/>
    <col min="2820" max="2820" width="5.5703125" style="73" customWidth="1"/>
    <col min="2821" max="2822" width="5.7109375" style="73" customWidth="1"/>
    <col min="2823" max="2823" width="9.85546875" style="73" customWidth="1"/>
    <col min="2824" max="2824" width="9.7109375" style="73" customWidth="1"/>
    <col min="2825" max="2825" width="8.85546875" style="73" customWidth="1"/>
    <col min="2826" max="2826" width="10" style="73" customWidth="1"/>
    <col min="2827" max="2827" width="8.28515625" style="73" customWidth="1"/>
    <col min="2828" max="2828" width="9.5703125" style="73" customWidth="1"/>
    <col min="2829" max="2829" width="15.5703125" style="73" customWidth="1"/>
    <col min="2830" max="3061" width="9.140625" style="73"/>
    <col min="3062" max="3062" width="6.85546875" style="73" customWidth="1"/>
    <col min="3063" max="3063" width="2.140625" style="73" customWidth="1"/>
    <col min="3064" max="3064" width="6.140625" style="73" customWidth="1"/>
    <col min="3065" max="3065" width="8.85546875" style="73" customWidth="1"/>
    <col min="3066" max="3066" width="28.42578125" style="73" customWidth="1"/>
    <col min="3067" max="3067" width="13.85546875" style="73" customWidth="1"/>
    <col min="3068" max="3068" width="8.42578125" style="73" customWidth="1"/>
    <col min="3069" max="3072" width="0" style="73" hidden="1" customWidth="1"/>
    <col min="3073" max="3073" width="5.28515625" style="73" customWidth="1"/>
    <col min="3074" max="3074" width="5.5703125" style="73" customWidth="1"/>
    <col min="3075" max="3075" width="6" style="73" customWidth="1"/>
    <col min="3076" max="3076" width="5.5703125" style="73" customWidth="1"/>
    <col min="3077" max="3078" width="5.7109375" style="73" customWidth="1"/>
    <col min="3079" max="3079" width="9.85546875" style="73" customWidth="1"/>
    <col min="3080" max="3080" width="9.7109375" style="73" customWidth="1"/>
    <col min="3081" max="3081" width="8.85546875" style="73" customWidth="1"/>
    <col min="3082" max="3082" width="10" style="73" customWidth="1"/>
    <col min="3083" max="3083" width="8.28515625" style="73" customWidth="1"/>
    <col min="3084" max="3084" width="9.5703125" style="73" customWidth="1"/>
    <col min="3085" max="3085" width="15.5703125" style="73" customWidth="1"/>
    <col min="3086" max="3317" width="9.140625" style="73"/>
    <col min="3318" max="3318" width="6.85546875" style="73" customWidth="1"/>
    <col min="3319" max="3319" width="2.140625" style="73" customWidth="1"/>
    <col min="3320" max="3320" width="6.140625" style="73" customWidth="1"/>
    <col min="3321" max="3321" width="8.85546875" style="73" customWidth="1"/>
    <col min="3322" max="3322" width="28.42578125" style="73" customWidth="1"/>
    <col min="3323" max="3323" width="13.85546875" style="73" customWidth="1"/>
    <col min="3324" max="3324" width="8.42578125" style="73" customWidth="1"/>
    <col min="3325" max="3328" width="0" style="73" hidden="1" customWidth="1"/>
    <col min="3329" max="3329" width="5.28515625" style="73" customWidth="1"/>
    <col min="3330" max="3330" width="5.5703125" style="73" customWidth="1"/>
    <col min="3331" max="3331" width="6" style="73" customWidth="1"/>
    <col min="3332" max="3332" width="5.5703125" style="73" customWidth="1"/>
    <col min="3333" max="3334" width="5.7109375" style="73" customWidth="1"/>
    <col min="3335" max="3335" width="9.85546875" style="73" customWidth="1"/>
    <col min="3336" max="3336" width="9.7109375" style="73" customWidth="1"/>
    <col min="3337" max="3337" width="8.85546875" style="73" customWidth="1"/>
    <col min="3338" max="3338" width="10" style="73" customWidth="1"/>
    <col min="3339" max="3339" width="8.28515625" style="73" customWidth="1"/>
    <col min="3340" max="3340" width="9.5703125" style="73" customWidth="1"/>
    <col min="3341" max="3341" width="15.5703125" style="73" customWidth="1"/>
    <col min="3342" max="3573" width="9.140625" style="73"/>
    <col min="3574" max="3574" width="6.85546875" style="73" customWidth="1"/>
    <col min="3575" max="3575" width="2.140625" style="73" customWidth="1"/>
    <col min="3576" max="3576" width="6.140625" style="73" customWidth="1"/>
    <col min="3577" max="3577" width="8.85546875" style="73" customWidth="1"/>
    <col min="3578" max="3578" width="28.42578125" style="73" customWidth="1"/>
    <col min="3579" max="3579" width="13.85546875" style="73" customWidth="1"/>
    <col min="3580" max="3580" width="8.42578125" style="73" customWidth="1"/>
    <col min="3581" max="3584" width="0" style="73" hidden="1" customWidth="1"/>
    <col min="3585" max="3585" width="5.28515625" style="73" customWidth="1"/>
    <col min="3586" max="3586" width="5.5703125" style="73" customWidth="1"/>
    <col min="3587" max="3587" width="6" style="73" customWidth="1"/>
    <col min="3588" max="3588" width="5.5703125" style="73" customWidth="1"/>
    <col min="3589" max="3590" width="5.7109375" style="73" customWidth="1"/>
    <col min="3591" max="3591" width="9.85546875" style="73" customWidth="1"/>
    <col min="3592" max="3592" width="9.7109375" style="73" customWidth="1"/>
    <col min="3593" max="3593" width="8.85546875" style="73" customWidth="1"/>
    <col min="3594" max="3594" width="10" style="73" customWidth="1"/>
    <col min="3595" max="3595" width="8.28515625" style="73" customWidth="1"/>
    <col min="3596" max="3596" width="9.5703125" style="73" customWidth="1"/>
    <col min="3597" max="3597" width="15.5703125" style="73" customWidth="1"/>
    <col min="3598" max="3829" width="9.140625" style="73"/>
    <col min="3830" max="3830" width="6.85546875" style="73" customWidth="1"/>
    <col min="3831" max="3831" width="2.140625" style="73" customWidth="1"/>
    <col min="3832" max="3832" width="6.140625" style="73" customWidth="1"/>
    <col min="3833" max="3833" width="8.85546875" style="73" customWidth="1"/>
    <col min="3834" max="3834" width="28.42578125" style="73" customWidth="1"/>
    <col min="3835" max="3835" width="13.85546875" style="73" customWidth="1"/>
    <col min="3836" max="3836" width="8.42578125" style="73" customWidth="1"/>
    <col min="3837" max="3840" width="0" style="73" hidden="1" customWidth="1"/>
    <col min="3841" max="3841" width="5.28515625" style="73" customWidth="1"/>
    <col min="3842" max="3842" width="5.5703125" style="73" customWidth="1"/>
    <col min="3843" max="3843" width="6" style="73" customWidth="1"/>
    <col min="3844" max="3844" width="5.5703125" style="73" customWidth="1"/>
    <col min="3845" max="3846" width="5.7109375" style="73" customWidth="1"/>
    <col min="3847" max="3847" width="9.85546875" style="73" customWidth="1"/>
    <col min="3848" max="3848" width="9.7109375" style="73" customWidth="1"/>
    <col min="3849" max="3849" width="8.85546875" style="73" customWidth="1"/>
    <col min="3850" max="3850" width="10" style="73" customWidth="1"/>
    <col min="3851" max="3851" width="8.28515625" style="73" customWidth="1"/>
    <col min="3852" max="3852" width="9.5703125" style="73" customWidth="1"/>
    <col min="3853" max="3853" width="15.5703125" style="73" customWidth="1"/>
    <col min="3854" max="4085" width="9.140625" style="73"/>
    <col min="4086" max="4086" width="6.85546875" style="73" customWidth="1"/>
    <col min="4087" max="4087" width="2.140625" style="73" customWidth="1"/>
    <col min="4088" max="4088" width="6.140625" style="73" customWidth="1"/>
    <col min="4089" max="4089" width="8.85546875" style="73" customWidth="1"/>
    <col min="4090" max="4090" width="28.42578125" style="73" customWidth="1"/>
    <col min="4091" max="4091" width="13.85546875" style="73" customWidth="1"/>
    <col min="4092" max="4092" width="8.42578125" style="73" customWidth="1"/>
    <col min="4093" max="4096" width="0" style="73" hidden="1" customWidth="1"/>
    <col min="4097" max="4097" width="5.28515625" style="73" customWidth="1"/>
    <col min="4098" max="4098" width="5.5703125" style="73" customWidth="1"/>
    <col min="4099" max="4099" width="6" style="73" customWidth="1"/>
    <col min="4100" max="4100" width="5.5703125" style="73" customWidth="1"/>
    <col min="4101" max="4102" width="5.7109375" style="73" customWidth="1"/>
    <col min="4103" max="4103" width="9.85546875" style="73" customWidth="1"/>
    <col min="4104" max="4104" width="9.7109375" style="73" customWidth="1"/>
    <col min="4105" max="4105" width="8.85546875" style="73" customWidth="1"/>
    <col min="4106" max="4106" width="10" style="73" customWidth="1"/>
    <col min="4107" max="4107" width="8.28515625" style="73" customWidth="1"/>
    <col min="4108" max="4108" width="9.5703125" style="73" customWidth="1"/>
    <col min="4109" max="4109" width="15.5703125" style="73" customWidth="1"/>
    <col min="4110" max="4341" width="9.140625" style="73"/>
    <col min="4342" max="4342" width="6.85546875" style="73" customWidth="1"/>
    <col min="4343" max="4343" width="2.140625" style="73" customWidth="1"/>
    <col min="4344" max="4344" width="6.140625" style="73" customWidth="1"/>
    <col min="4345" max="4345" width="8.85546875" style="73" customWidth="1"/>
    <col min="4346" max="4346" width="28.42578125" style="73" customWidth="1"/>
    <col min="4347" max="4347" width="13.85546875" style="73" customWidth="1"/>
    <col min="4348" max="4348" width="8.42578125" style="73" customWidth="1"/>
    <col min="4349" max="4352" width="0" style="73" hidden="1" customWidth="1"/>
    <col min="4353" max="4353" width="5.28515625" style="73" customWidth="1"/>
    <col min="4354" max="4354" width="5.5703125" style="73" customWidth="1"/>
    <col min="4355" max="4355" width="6" style="73" customWidth="1"/>
    <col min="4356" max="4356" width="5.5703125" style="73" customWidth="1"/>
    <col min="4357" max="4358" width="5.7109375" style="73" customWidth="1"/>
    <col min="4359" max="4359" width="9.85546875" style="73" customWidth="1"/>
    <col min="4360" max="4360" width="9.7109375" style="73" customWidth="1"/>
    <col min="4361" max="4361" width="8.85546875" style="73" customWidth="1"/>
    <col min="4362" max="4362" width="10" style="73" customWidth="1"/>
    <col min="4363" max="4363" width="8.28515625" style="73" customWidth="1"/>
    <col min="4364" max="4364" width="9.5703125" style="73" customWidth="1"/>
    <col min="4365" max="4365" width="15.5703125" style="73" customWidth="1"/>
    <col min="4366" max="4597" width="9.140625" style="73"/>
    <col min="4598" max="4598" width="6.85546875" style="73" customWidth="1"/>
    <col min="4599" max="4599" width="2.140625" style="73" customWidth="1"/>
    <col min="4600" max="4600" width="6.140625" style="73" customWidth="1"/>
    <col min="4601" max="4601" width="8.85546875" style="73" customWidth="1"/>
    <col min="4602" max="4602" width="28.42578125" style="73" customWidth="1"/>
    <col min="4603" max="4603" width="13.85546875" style="73" customWidth="1"/>
    <col min="4604" max="4604" width="8.42578125" style="73" customWidth="1"/>
    <col min="4605" max="4608" width="0" style="73" hidden="1" customWidth="1"/>
    <col min="4609" max="4609" width="5.28515625" style="73" customWidth="1"/>
    <col min="4610" max="4610" width="5.5703125" style="73" customWidth="1"/>
    <col min="4611" max="4611" width="6" style="73" customWidth="1"/>
    <col min="4612" max="4612" width="5.5703125" style="73" customWidth="1"/>
    <col min="4613" max="4614" width="5.7109375" style="73" customWidth="1"/>
    <col min="4615" max="4615" width="9.85546875" style="73" customWidth="1"/>
    <col min="4616" max="4616" width="9.7109375" style="73" customWidth="1"/>
    <col min="4617" max="4617" width="8.85546875" style="73" customWidth="1"/>
    <col min="4618" max="4618" width="10" style="73" customWidth="1"/>
    <col min="4619" max="4619" width="8.28515625" style="73" customWidth="1"/>
    <col min="4620" max="4620" width="9.5703125" style="73" customWidth="1"/>
    <col min="4621" max="4621" width="15.5703125" style="73" customWidth="1"/>
    <col min="4622" max="4853" width="9.140625" style="73"/>
    <col min="4854" max="4854" width="6.85546875" style="73" customWidth="1"/>
    <col min="4855" max="4855" width="2.140625" style="73" customWidth="1"/>
    <col min="4856" max="4856" width="6.140625" style="73" customWidth="1"/>
    <col min="4857" max="4857" width="8.85546875" style="73" customWidth="1"/>
    <col min="4858" max="4858" width="28.42578125" style="73" customWidth="1"/>
    <col min="4859" max="4859" width="13.85546875" style="73" customWidth="1"/>
    <col min="4860" max="4860" width="8.42578125" style="73" customWidth="1"/>
    <col min="4861" max="4864" width="0" style="73" hidden="1" customWidth="1"/>
    <col min="4865" max="4865" width="5.28515625" style="73" customWidth="1"/>
    <col min="4866" max="4866" width="5.5703125" style="73" customWidth="1"/>
    <col min="4867" max="4867" width="6" style="73" customWidth="1"/>
    <col min="4868" max="4868" width="5.5703125" style="73" customWidth="1"/>
    <col min="4869" max="4870" width="5.7109375" style="73" customWidth="1"/>
    <col min="4871" max="4871" width="9.85546875" style="73" customWidth="1"/>
    <col min="4872" max="4872" width="9.7109375" style="73" customWidth="1"/>
    <col min="4873" max="4873" width="8.85546875" style="73" customWidth="1"/>
    <col min="4874" max="4874" width="10" style="73" customWidth="1"/>
    <col min="4875" max="4875" width="8.28515625" style="73" customWidth="1"/>
    <col min="4876" max="4876" width="9.5703125" style="73" customWidth="1"/>
    <col min="4877" max="4877" width="15.5703125" style="73" customWidth="1"/>
    <col min="4878" max="5109" width="9.140625" style="73"/>
    <col min="5110" max="5110" width="6.85546875" style="73" customWidth="1"/>
    <col min="5111" max="5111" width="2.140625" style="73" customWidth="1"/>
    <col min="5112" max="5112" width="6.140625" style="73" customWidth="1"/>
    <col min="5113" max="5113" width="8.85546875" style="73" customWidth="1"/>
    <col min="5114" max="5114" width="28.42578125" style="73" customWidth="1"/>
    <col min="5115" max="5115" width="13.85546875" style="73" customWidth="1"/>
    <col min="5116" max="5116" width="8.42578125" style="73" customWidth="1"/>
    <col min="5117" max="5120" width="0" style="73" hidden="1" customWidth="1"/>
    <col min="5121" max="5121" width="5.28515625" style="73" customWidth="1"/>
    <col min="5122" max="5122" width="5.5703125" style="73" customWidth="1"/>
    <col min="5123" max="5123" width="6" style="73" customWidth="1"/>
    <col min="5124" max="5124" width="5.5703125" style="73" customWidth="1"/>
    <col min="5125" max="5126" width="5.7109375" style="73" customWidth="1"/>
    <col min="5127" max="5127" width="9.85546875" style="73" customWidth="1"/>
    <col min="5128" max="5128" width="9.7109375" style="73" customWidth="1"/>
    <col min="5129" max="5129" width="8.85546875" style="73" customWidth="1"/>
    <col min="5130" max="5130" width="10" style="73" customWidth="1"/>
    <col min="5131" max="5131" width="8.28515625" style="73" customWidth="1"/>
    <col min="5132" max="5132" width="9.5703125" style="73" customWidth="1"/>
    <col min="5133" max="5133" width="15.5703125" style="73" customWidth="1"/>
    <col min="5134" max="5365" width="9.140625" style="73"/>
    <col min="5366" max="5366" width="6.85546875" style="73" customWidth="1"/>
    <col min="5367" max="5367" width="2.140625" style="73" customWidth="1"/>
    <col min="5368" max="5368" width="6.140625" style="73" customWidth="1"/>
    <col min="5369" max="5369" width="8.85546875" style="73" customWidth="1"/>
    <col min="5370" max="5370" width="28.42578125" style="73" customWidth="1"/>
    <col min="5371" max="5371" width="13.85546875" style="73" customWidth="1"/>
    <col min="5372" max="5372" width="8.42578125" style="73" customWidth="1"/>
    <col min="5373" max="5376" width="0" style="73" hidden="1" customWidth="1"/>
    <col min="5377" max="5377" width="5.28515625" style="73" customWidth="1"/>
    <col min="5378" max="5378" width="5.5703125" style="73" customWidth="1"/>
    <col min="5379" max="5379" width="6" style="73" customWidth="1"/>
    <col min="5380" max="5380" width="5.5703125" style="73" customWidth="1"/>
    <col min="5381" max="5382" width="5.7109375" style="73" customWidth="1"/>
    <col min="5383" max="5383" width="9.85546875" style="73" customWidth="1"/>
    <col min="5384" max="5384" width="9.7109375" style="73" customWidth="1"/>
    <col min="5385" max="5385" width="8.85546875" style="73" customWidth="1"/>
    <col min="5386" max="5386" width="10" style="73" customWidth="1"/>
    <col min="5387" max="5387" width="8.28515625" style="73" customWidth="1"/>
    <col min="5388" max="5388" width="9.5703125" style="73" customWidth="1"/>
    <col min="5389" max="5389" width="15.5703125" style="73" customWidth="1"/>
    <col min="5390" max="5621" width="9.140625" style="73"/>
    <col min="5622" max="5622" width="6.85546875" style="73" customWidth="1"/>
    <col min="5623" max="5623" width="2.140625" style="73" customWidth="1"/>
    <col min="5624" max="5624" width="6.140625" style="73" customWidth="1"/>
    <col min="5625" max="5625" width="8.85546875" style="73" customWidth="1"/>
    <col min="5626" max="5626" width="28.42578125" style="73" customWidth="1"/>
    <col min="5627" max="5627" width="13.85546875" style="73" customWidth="1"/>
    <col min="5628" max="5628" width="8.42578125" style="73" customWidth="1"/>
    <col min="5629" max="5632" width="0" style="73" hidden="1" customWidth="1"/>
    <col min="5633" max="5633" width="5.28515625" style="73" customWidth="1"/>
    <col min="5634" max="5634" width="5.5703125" style="73" customWidth="1"/>
    <col min="5635" max="5635" width="6" style="73" customWidth="1"/>
    <col min="5636" max="5636" width="5.5703125" style="73" customWidth="1"/>
    <col min="5637" max="5638" width="5.7109375" style="73" customWidth="1"/>
    <col min="5639" max="5639" width="9.85546875" style="73" customWidth="1"/>
    <col min="5640" max="5640" width="9.7109375" style="73" customWidth="1"/>
    <col min="5641" max="5641" width="8.85546875" style="73" customWidth="1"/>
    <col min="5642" max="5642" width="10" style="73" customWidth="1"/>
    <col min="5643" max="5643" width="8.28515625" style="73" customWidth="1"/>
    <col min="5644" max="5644" width="9.5703125" style="73" customWidth="1"/>
    <col min="5645" max="5645" width="15.5703125" style="73" customWidth="1"/>
    <col min="5646" max="5877" width="9.140625" style="73"/>
    <col min="5878" max="5878" width="6.85546875" style="73" customWidth="1"/>
    <col min="5879" max="5879" width="2.140625" style="73" customWidth="1"/>
    <col min="5880" max="5880" width="6.140625" style="73" customWidth="1"/>
    <col min="5881" max="5881" width="8.85546875" style="73" customWidth="1"/>
    <col min="5882" max="5882" width="28.42578125" style="73" customWidth="1"/>
    <col min="5883" max="5883" width="13.85546875" style="73" customWidth="1"/>
    <col min="5884" max="5884" width="8.42578125" style="73" customWidth="1"/>
    <col min="5885" max="5888" width="0" style="73" hidden="1" customWidth="1"/>
    <col min="5889" max="5889" width="5.28515625" style="73" customWidth="1"/>
    <col min="5890" max="5890" width="5.5703125" style="73" customWidth="1"/>
    <col min="5891" max="5891" width="6" style="73" customWidth="1"/>
    <col min="5892" max="5892" width="5.5703125" style="73" customWidth="1"/>
    <col min="5893" max="5894" width="5.7109375" style="73" customWidth="1"/>
    <col min="5895" max="5895" width="9.85546875" style="73" customWidth="1"/>
    <col min="5896" max="5896" width="9.7109375" style="73" customWidth="1"/>
    <col min="5897" max="5897" width="8.85546875" style="73" customWidth="1"/>
    <col min="5898" max="5898" width="10" style="73" customWidth="1"/>
    <col min="5899" max="5899" width="8.28515625" style="73" customWidth="1"/>
    <col min="5900" max="5900" width="9.5703125" style="73" customWidth="1"/>
    <col min="5901" max="5901" width="15.5703125" style="73" customWidth="1"/>
    <col min="5902" max="6133" width="9.140625" style="73"/>
    <col min="6134" max="6134" width="6.85546875" style="73" customWidth="1"/>
    <col min="6135" max="6135" width="2.140625" style="73" customWidth="1"/>
    <col min="6136" max="6136" width="6.140625" style="73" customWidth="1"/>
    <col min="6137" max="6137" width="8.85546875" style="73" customWidth="1"/>
    <col min="6138" max="6138" width="28.42578125" style="73" customWidth="1"/>
    <col min="6139" max="6139" width="13.85546875" style="73" customWidth="1"/>
    <col min="6140" max="6140" width="8.42578125" style="73" customWidth="1"/>
    <col min="6141" max="6144" width="0" style="73" hidden="1" customWidth="1"/>
    <col min="6145" max="6145" width="5.28515625" style="73" customWidth="1"/>
    <col min="6146" max="6146" width="5.5703125" style="73" customWidth="1"/>
    <col min="6147" max="6147" width="6" style="73" customWidth="1"/>
    <col min="6148" max="6148" width="5.5703125" style="73" customWidth="1"/>
    <col min="6149" max="6150" width="5.7109375" style="73" customWidth="1"/>
    <col min="6151" max="6151" width="9.85546875" style="73" customWidth="1"/>
    <col min="6152" max="6152" width="9.7109375" style="73" customWidth="1"/>
    <col min="6153" max="6153" width="8.85546875" style="73" customWidth="1"/>
    <col min="6154" max="6154" width="10" style="73" customWidth="1"/>
    <col min="6155" max="6155" width="8.28515625" style="73" customWidth="1"/>
    <col min="6156" max="6156" width="9.5703125" style="73" customWidth="1"/>
    <col min="6157" max="6157" width="15.5703125" style="73" customWidth="1"/>
    <col min="6158" max="6389" width="9.140625" style="73"/>
    <col min="6390" max="6390" width="6.85546875" style="73" customWidth="1"/>
    <col min="6391" max="6391" width="2.140625" style="73" customWidth="1"/>
    <col min="6392" max="6392" width="6.140625" style="73" customWidth="1"/>
    <col min="6393" max="6393" width="8.85546875" style="73" customWidth="1"/>
    <col min="6394" max="6394" width="28.42578125" style="73" customWidth="1"/>
    <col min="6395" max="6395" width="13.85546875" style="73" customWidth="1"/>
    <col min="6396" max="6396" width="8.42578125" style="73" customWidth="1"/>
    <col min="6397" max="6400" width="0" style="73" hidden="1" customWidth="1"/>
    <col min="6401" max="6401" width="5.28515625" style="73" customWidth="1"/>
    <col min="6402" max="6402" width="5.5703125" style="73" customWidth="1"/>
    <col min="6403" max="6403" width="6" style="73" customWidth="1"/>
    <col min="6404" max="6404" width="5.5703125" style="73" customWidth="1"/>
    <col min="6405" max="6406" width="5.7109375" style="73" customWidth="1"/>
    <col min="6407" max="6407" width="9.85546875" style="73" customWidth="1"/>
    <col min="6408" max="6408" width="9.7109375" style="73" customWidth="1"/>
    <col min="6409" max="6409" width="8.85546875" style="73" customWidth="1"/>
    <col min="6410" max="6410" width="10" style="73" customWidth="1"/>
    <col min="6411" max="6411" width="8.28515625" style="73" customWidth="1"/>
    <col min="6412" max="6412" width="9.5703125" style="73" customWidth="1"/>
    <col min="6413" max="6413" width="15.5703125" style="73" customWidth="1"/>
    <col min="6414" max="6645" width="9.140625" style="73"/>
    <col min="6646" max="6646" width="6.85546875" style="73" customWidth="1"/>
    <col min="6647" max="6647" width="2.140625" style="73" customWidth="1"/>
    <col min="6648" max="6648" width="6.140625" style="73" customWidth="1"/>
    <col min="6649" max="6649" width="8.85546875" style="73" customWidth="1"/>
    <col min="6650" max="6650" width="28.42578125" style="73" customWidth="1"/>
    <col min="6651" max="6651" width="13.85546875" style="73" customWidth="1"/>
    <col min="6652" max="6652" width="8.42578125" style="73" customWidth="1"/>
    <col min="6653" max="6656" width="0" style="73" hidden="1" customWidth="1"/>
    <col min="6657" max="6657" width="5.28515625" style="73" customWidth="1"/>
    <col min="6658" max="6658" width="5.5703125" style="73" customWidth="1"/>
    <col min="6659" max="6659" width="6" style="73" customWidth="1"/>
    <col min="6660" max="6660" width="5.5703125" style="73" customWidth="1"/>
    <col min="6661" max="6662" width="5.7109375" style="73" customWidth="1"/>
    <col min="6663" max="6663" width="9.85546875" style="73" customWidth="1"/>
    <col min="6664" max="6664" width="9.7109375" style="73" customWidth="1"/>
    <col min="6665" max="6665" width="8.85546875" style="73" customWidth="1"/>
    <col min="6666" max="6666" width="10" style="73" customWidth="1"/>
    <col min="6667" max="6667" width="8.28515625" style="73" customWidth="1"/>
    <col min="6668" max="6668" width="9.5703125" style="73" customWidth="1"/>
    <col min="6669" max="6669" width="15.5703125" style="73" customWidth="1"/>
    <col min="6670" max="6901" width="9.140625" style="73"/>
    <col min="6902" max="6902" width="6.85546875" style="73" customWidth="1"/>
    <col min="6903" max="6903" width="2.140625" style="73" customWidth="1"/>
    <col min="6904" max="6904" width="6.140625" style="73" customWidth="1"/>
    <col min="6905" max="6905" width="8.85546875" style="73" customWidth="1"/>
    <col min="6906" max="6906" width="28.42578125" style="73" customWidth="1"/>
    <col min="6907" max="6907" width="13.85546875" style="73" customWidth="1"/>
    <col min="6908" max="6908" width="8.42578125" style="73" customWidth="1"/>
    <col min="6909" max="6912" width="0" style="73" hidden="1" customWidth="1"/>
    <col min="6913" max="6913" width="5.28515625" style="73" customWidth="1"/>
    <col min="6914" max="6914" width="5.5703125" style="73" customWidth="1"/>
    <col min="6915" max="6915" width="6" style="73" customWidth="1"/>
    <col min="6916" max="6916" width="5.5703125" style="73" customWidth="1"/>
    <col min="6917" max="6918" width="5.7109375" style="73" customWidth="1"/>
    <col min="6919" max="6919" width="9.85546875" style="73" customWidth="1"/>
    <col min="6920" max="6920" width="9.7109375" style="73" customWidth="1"/>
    <col min="6921" max="6921" width="8.85546875" style="73" customWidth="1"/>
    <col min="6922" max="6922" width="10" style="73" customWidth="1"/>
    <col min="6923" max="6923" width="8.28515625" style="73" customWidth="1"/>
    <col min="6924" max="6924" width="9.5703125" style="73" customWidth="1"/>
    <col min="6925" max="6925" width="15.5703125" style="73" customWidth="1"/>
    <col min="6926" max="7157" width="9.140625" style="73"/>
    <col min="7158" max="7158" width="6.85546875" style="73" customWidth="1"/>
    <col min="7159" max="7159" width="2.140625" style="73" customWidth="1"/>
    <col min="7160" max="7160" width="6.140625" style="73" customWidth="1"/>
    <col min="7161" max="7161" width="8.85546875" style="73" customWidth="1"/>
    <col min="7162" max="7162" width="28.42578125" style="73" customWidth="1"/>
    <col min="7163" max="7163" width="13.85546875" style="73" customWidth="1"/>
    <col min="7164" max="7164" width="8.42578125" style="73" customWidth="1"/>
    <col min="7165" max="7168" width="0" style="73" hidden="1" customWidth="1"/>
    <col min="7169" max="7169" width="5.28515625" style="73" customWidth="1"/>
    <col min="7170" max="7170" width="5.5703125" style="73" customWidth="1"/>
    <col min="7171" max="7171" width="6" style="73" customWidth="1"/>
    <col min="7172" max="7172" width="5.5703125" style="73" customWidth="1"/>
    <col min="7173" max="7174" width="5.7109375" style="73" customWidth="1"/>
    <col min="7175" max="7175" width="9.85546875" style="73" customWidth="1"/>
    <col min="7176" max="7176" width="9.7109375" style="73" customWidth="1"/>
    <col min="7177" max="7177" width="8.85546875" style="73" customWidth="1"/>
    <col min="7178" max="7178" width="10" style="73" customWidth="1"/>
    <col min="7179" max="7179" width="8.28515625" style="73" customWidth="1"/>
    <col min="7180" max="7180" width="9.5703125" style="73" customWidth="1"/>
    <col min="7181" max="7181" width="15.5703125" style="73" customWidth="1"/>
    <col min="7182" max="7413" width="9.140625" style="73"/>
    <col min="7414" max="7414" width="6.85546875" style="73" customWidth="1"/>
    <col min="7415" max="7415" width="2.140625" style="73" customWidth="1"/>
    <col min="7416" max="7416" width="6.140625" style="73" customWidth="1"/>
    <col min="7417" max="7417" width="8.85546875" style="73" customWidth="1"/>
    <col min="7418" max="7418" width="28.42578125" style="73" customWidth="1"/>
    <col min="7419" max="7419" width="13.85546875" style="73" customWidth="1"/>
    <col min="7420" max="7420" width="8.42578125" style="73" customWidth="1"/>
    <col min="7421" max="7424" width="0" style="73" hidden="1" customWidth="1"/>
    <col min="7425" max="7425" width="5.28515625" style="73" customWidth="1"/>
    <col min="7426" max="7426" width="5.5703125" style="73" customWidth="1"/>
    <col min="7427" max="7427" width="6" style="73" customWidth="1"/>
    <col min="7428" max="7428" width="5.5703125" style="73" customWidth="1"/>
    <col min="7429" max="7430" width="5.7109375" style="73" customWidth="1"/>
    <col min="7431" max="7431" width="9.85546875" style="73" customWidth="1"/>
    <col min="7432" max="7432" width="9.7109375" style="73" customWidth="1"/>
    <col min="7433" max="7433" width="8.85546875" style="73" customWidth="1"/>
    <col min="7434" max="7434" width="10" style="73" customWidth="1"/>
    <col min="7435" max="7435" width="8.28515625" style="73" customWidth="1"/>
    <col min="7436" max="7436" width="9.5703125" style="73" customWidth="1"/>
    <col min="7437" max="7437" width="15.5703125" style="73" customWidth="1"/>
    <col min="7438" max="7669" width="9.140625" style="73"/>
    <col min="7670" max="7670" width="6.85546875" style="73" customWidth="1"/>
    <col min="7671" max="7671" width="2.140625" style="73" customWidth="1"/>
    <col min="7672" max="7672" width="6.140625" style="73" customWidth="1"/>
    <col min="7673" max="7673" width="8.85546875" style="73" customWidth="1"/>
    <col min="7674" max="7674" width="28.42578125" style="73" customWidth="1"/>
    <col min="7675" max="7675" width="13.85546875" style="73" customWidth="1"/>
    <col min="7676" max="7676" width="8.42578125" style="73" customWidth="1"/>
    <col min="7677" max="7680" width="0" style="73" hidden="1" customWidth="1"/>
    <col min="7681" max="7681" width="5.28515625" style="73" customWidth="1"/>
    <col min="7682" max="7682" width="5.5703125" style="73" customWidth="1"/>
    <col min="7683" max="7683" width="6" style="73" customWidth="1"/>
    <col min="7684" max="7684" width="5.5703125" style="73" customWidth="1"/>
    <col min="7685" max="7686" width="5.7109375" style="73" customWidth="1"/>
    <col min="7687" max="7687" width="9.85546875" style="73" customWidth="1"/>
    <col min="7688" max="7688" width="9.7109375" style="73" customWidth="1"/>
    <col min="7689" max="7689" width="8.85546875" style="73" customWidth="1"/>
    <col min="7690" max="7690" width="10" style="73" customWidth="1"/>
    <col min="7691" max="7691" width="8.28515625" style="73" customWidth="1"/>
    <col min="7692" max="7692" width="9.5703125" style="73" customWidth="1"/>
    <col min="7693" max="7693" width="15.5703125" style="73" customWidth="1"/>
    <col min="7694" max="7925" width="9.140625" style="73"/>
    <col min="7926" max="7926" width="6.85546875" style="73" customWidth="1"/>
    <col min="7927" max="7927" width="2.140625" style="73" customWidth="1"/>
    <col min="7928" max="7928" width="6.140625" style="73" customWidth="1"/>
    <col min="7929" max="7929" width="8.85546875" style="73" customWidth="1"/>
    <col min="7930" max="7930" width="28.42578125" style="73" customWidth="1"/>
    <col min="7931" max="7931" width="13.85546875" style="73" customWidth="1"/>
    <col min="7932" max="7932" width="8.42578125" style="73" customWidth="1"/>
    <col min="7933" max="7936" width="0" style="73" hidden="1" customWidth="1"/>
    <col min="7937" max="7937" width="5.28515625" style="73" customWidth="1"/>
    <col min="7938" max="7938" width="5.5703125" style="73" customWidth="1"/>
    <col min="7939" max="7939" width="6" style="73" customWidth="1"/>
    <col min="7940" max="7940" width="5.5703125" style="73" customWidth="1"/>
    <col min="7941" max="7942" width="5.7109375" style="73" customWidth="1"/>
    <col min="7943" max="7943" width="9.85546875" style="73" customWidth="1"/>
    <col min="7944" max="7944" width="9.7109375" style="73" customWidth="1"/>
    <col min="7945" max="7945" width="8.85546875" style="73" customWidth="1"/>
    <col min="7946" max="7946" width="10" style="73" customWidth="1"/>
    <col min="7947" max="7947" width="8.28515625" style="73" customWidth="1"/>
    <col min="7948" max="7948" width="9.5703125" style="73" customWidth="1"/>
    <col min="7949" max="7949" width="15.5703125" style="73" customWidth="1"/>
    <col min="7950" max="8181" width="9.140625" style="73"/>
    <col min="8182" max="8182" width="6.85546875" style="73" customWidth="1"/>
    <col min="8183" max="8183" width="2.140625" style="73" customWidth="1"/>
    <col min="8184" max="8184" width="6.140625" style="73" customWidth="1"/>
    <col min="8185" max="8185" width="8.85546875" style="73" customWidth="1"/>
    <col min="8186" max="8186" width="28.42578125" style="73" customWidth="1"/>
    <col min="8187" max="8187" width="13.85546875" style="73" customWidth="1"/>
    <col min="8188" max="8188" width="8.42578125" style="73" customWidth="1"/>
    <col min="8189" max="8192" width="0" style="73" hidden="1" customWidth="1"/>
    <col min="8193" max="8193" width="5.28515625" style="73" customWidth="1"/>
    <col min="8194" max="8194" width="5.5703125" style="73" customWidth="1"/>
    <col min="8195" max="8195" width="6" style="73" customWidth="1"/>
    <col min="8196" max="8196" width="5.5703125" style="73" customWidth="1"/>
    <col min="8197" max="8198" width="5.7109375" style="73" customWidth="1"/>
    <col min="8199" max="8199" width="9.85546875" style="73" customWidth="1"/>
    <col min="8200" max="8200" width="9.7109375" style="73" customWidth="1"/>
    <col min="8201" max="8201" width="8.85546875" style="73" customWidth="1"/>
    <col min="8202" max="8202" width="10" style="73" customWidth="1"/>
    <col min="8203" max="8203" width="8.28515625" style="73" customWidth="1"/>
    <col min="8204" max="8204" width="9.5703125" style="73" customWidth="1"/>
    <col min="8205" max="8205" width="15.5703125" style="73" customWidth="1"/>
    <col min="8206" max="8437" width="9.140625" style="73"/>
    <col min="8438" max="8438" width="6.85546875" style="73" customWidth="1"/>
    <col min="8439" max="8439" width="2.140625" style="73" customWidth="1"/>
    <col min="8440" max="8440" width="6.140625" style="73" customWidth="1"/>
    <col min="8441" max="8441" width="8.85546875" style="73" customWidth="1"/>
    <col min="8442" max="8442" width="28.42578125" style="73" customWidth="1"/>
    <col min="8443" max="8443" width="13.85546875" style="73" customWidth="1"/>
    <col min="8444" max="8444" width="8.42578125" style="73" customWidth="1"/>
    <col min="8445" max="8448" width="0" style="73" hidden="1" customWidth="1"/>
    <col min="8449" max="8449" width="5.28515625" style="73" customWidth="1"/>
    <col min="8450" max="8450" width="5.5703125" style="73" customWidth="1"/>
    <col min="8451" max="8451" width="6" style="73" customWidth="1"/>
    <col min="8452" max="8452" width="5.5703125" style="73" customWidth="1"/>
    <col min="8453" max="8454" width="5.7109375" style="73" customWidth="1"/>
    <col min="8455" max="8455" width="9.85546875" style="73" customWidth="1"/>
    <col min="8456" max="8456" width="9.7109375" style="73" customWidth="1"/>
    <col min="8457" max="8457" width="8.85546875" style="73" customWidth="1"/>
    <col min="8458" max="8458" width="10" style="73" customWidth="1"/>
    <col min="8459" max="8459" width="8.28515625" style="73" customWidth="1"/>
    <col min="8460" max="8460" width="9.5703125" style="73" customWidth="1"/>
    <col min="8461" max="8461" width="15.5703125" style="73" customWidth="1"/>
    <col min="8462" max="8693" width="9.140625" style="73"/>
    <col min="8694" max="8694" width="6.85546875" style="73" customWidth="1"/>
    <col min="8695" max="8695" width="2.140625" style="73" customWidth="1"/>
    <col min="8696" max="8696" width="6.140625" style="73" customWidth="1"/>
    <col min="8697" max="8697" width="8.85546875" style="73" customWidth="1"/>
    <col min="8698" max="8698" width="28.42578125" style="73" customWidth="1"/>
    <col min="8699" max="8699" width="13.85546875" style="73" customWidth="1"/>
    <col min="8700" max="8700" width="8.42578125" style="73" customWidth="1"/>
    <col min="8701" max="8704" width="0" style="73" hidden="1" customWidth="1"/>
    <col min="8705" max="8705" width="5.28515625" style="73" customWidth="1"/>
    <col min="8706" max="8706" width="5.5703125" style="73" customWidth="1"/>
    <col min="8707" max="8707" width="6" style="73" customWidth="1"/>
    <col min="8708" max="8708" width="5.5703125" style="73" customWidth="1"/>
    <col min="8709" max="8710" width="5.7109375" style="73" customWidth="1"/>
    <col min="8711" max="8711" width="9.85546875" style="73" customWidth="1"/>
    <col min="8712" max="8712" width="9.7109375" style="73" customWidth="1"/>
    <col min="8713" max="8713" width="8.85546875" style="73" customWidth="1"/>
    <col min="8714" max="8714" width="10" style="73" customWidth="1"/>
    <col min="8715" max="8715" width="8.28515625" style="73" customWidth="1"/>
    <col min="8716" max="8716" width="9.5703125" style="73" customWidth="1"/>
    <col min="8717" max="8717" width="15.5703125" style="73" customWidth="1"/>
    <col min="8718" max="8949" width="9.140625" style="73"/>
    <col min="8950" max="8950" width="6.85546875" style="73" customWidth="1"/>
    <col min="8951" max="8951" width="2.140625" style="73" customWidth="1"/>
    <col min="8952" max="8952" width="6.140625" style="73" customWidth="1"/>
    <col min="8953" max="8953" width="8.85546875" style="73" customWidth="1"/>
    <col min="8954" max="8954" width="28.42578125" style="73" customWidth="1"/>
    <col min="8955" max="8955" width="13.85546875" style="73" customWidth="1"/>
    <col min="8956" max="8956" width="8.42578125" style="73" customWidth="1"/>
    <col min="8957" max="8960" width="0" style="73" hidden="1" customWidth="1"/>
    <col min="8961" max="8961" width="5.28515625" style="73" customWidth="1"/>
    <col min="8962" max="8962" width="5.5703125" style="73" customWidth="1"/>
    <col min="8963" max="8963" width="6" style="73" customWidth="1"/>
    <col min="8964" max="8964" width="5.5703125" style="73" customWidth="1"/>
    <col min="8965" max="8966" width="5.7109375" style="73" customWidth="1"/>
    <col min="8967" max="8967" width="9.85546875" style="73" customWidth="1"/>
    <col min="8968" max="8968" width="9.7109375" style="73" customWidth="1"/>
    <col min="8969" max="8969" width="8.85546875" style="73" customWidth="1"/>
    <col min="8970" max="8970" width="10" style="73" customWidth="1"/>
    <col min="8971" max="8971" width="8.28515625" style="73" customWidth="1"/>
    <col min="8972" max="8972" width="9.5703125" style="73" customWidth="1"/>
    <col min="8973" max="8973" width="15.5703125" style="73" customWidth="1"/>
    <col min="8974" max="9205" width="9.140625" style="73"/>
    <col min="9206" max="9206" width="6.85546875" style="73" customWidth="1"/>
    <col min="9207" max="9207" width="2.140625" style="73" customWidth="1"/>
    <col min="9208" max="9208" width="6.140625" style="73" customWidth="1"/>
    <col min="9209" max="9209" width="8.85546875" style="73" customWidth="1"/>
    <col min="9210" max="9210" width="28.42578125" style="73" customWidth="1"/>
    <col min="9211" max="9211" width="13.85546875" style="73" customWidth="1"/>
    <col min="9212" max="9212" width="8.42578125" style="73" customWidth="1"/>
    <col min="9213" max="9216" width="0" style="73" hidden="1" customWidth="1"/>
    <col min="9217" max="9217" width="5.28515625" style="73" customWidth="1"/>
    <col min="9218" max="9218" width="5.5703125" style="73" customWidth="1"/>
    <col min="9219" max="9219" width="6" style="73" customWidth="1"/>
    <col min="9220" max="9220" width="5.5703125" style="73" customWidth="1"/>
    <col min="9221" max="9222" width="5.7109375" style="73" customWidth="1"/>
    <col min="9223" max="9223" width="9.85546875" style="73" customWidth="1"/>
    <col min="9224" max="9224" width="9.7109375" style="73" customWidth="1"/>
    <col min="9225" max="9225" width="8.85546875" style="73" customWidth="1"/>
    <col min="9226" max="9226" width="10" style="73" customWidth="1"/>
    <col min="9227" max="9227" width="8.28515625" style="73" customWidth="1"/>
    <col min="9228" max="9228" width="9.5703125" style="73" customWidth="1"/>
    <col min="9229" max="9229" width="15.5703125" style="73" customWidth="1"/>
    <col min="9230" max="9461" width="9.140625" style="73"/>
    <col min="9462" max="9462" width="6.85546875" style="73" customWidth="1"/>
    <col min="9463" max="9463" width="2.140625" style="73" customWidth="1"/>
    <col min="9464" max="9464" width="6.140625" style="73" customWidth="1"/>
    <col min="9465" max="9465" width="8.85546875" style="73" customWidth="1"/>
    <col min="9466" max="9466" width="28.42578125" style="73" customWidth="1"/>
    <col min="9467" max="9467" width="13.85546875" style="73" customWidth="1"/>
    <col min="9468" max="9468" width="8.42578125" style="73" customWidth="1"/>
    <col min="9469" max="9472" width="0" style="73" hidden="1" customWidth="1"/>
    <col min="9473" max="9473" width="5.28515625" style="73" customWidth="1"/>
    <col min="9474" max="9474" width="5.5703125" style="73" customWidth="1"/>
    <col min="9475" max="9475" width="6" style="73" customWidth="1"/>
    <col min="9476" max="9476" width="5.5703125" style="73" customWidth="1"/>
    <col min="9477" max="9478" width="5.7109375" style="73" customWidth="1"/>
    <col min="9479" max="9479" width="9.85546875" style="73" customWidth="1"/>
    <col min="9480" max="9480" width="9.7109375" style="73" customWidth="1"/>
    <col min="9481" max="9481" width="8.85546875" style="73" customWidth="1"/>
    <col min="9482" max="9482" width="10" style="73" customWidth="1"/>
    <col min="9483" max="9483" width="8.28515625" style="73" customWidth="1"/>
    <col min="9484" max="9484" width="9.5703125" style="73" customWidth="1"/>
    <col min="9485" max="9485" width="15.5703125" style="73" customWidth="1"/>
    <col min="9486" max="9717" width="9.140625" style="73"/>
    <col min="9718" max="9718" width="6.85546875" style="73" customWidth="1"/>
    <col min="9719" max="9719" width="2.140625" style="73" customWidth="1"/>
    <col min="9720" max="9720" width="6.140625" style="73" customWidth="1"/>
    <col min="9721" max="9721" width="8.85546875" style="73" customWidth="1"/>
    <col min="9722" max="9722" width="28.42578125" style="73" customWidth="1"/>
    <col min="9723" max="9723" width="13.85546875" style="73" customWidth="1"/>
    <col min="9724" max="9724" width="8.42578125" style="73" customWidth="1"/>
    <col min="9725" max="9728" width="0" style="73" hidden="1" customWidth="1"/>
    <col min="9729" max="9729" width="5.28515625" style="73" customWidth="1"/>
    <col min="9730" max="9730" width="5.5703125" style="73" customWidth="1"/>
    <col min="9731" max="9731" width="6" style="73" customWidth="1"/>
    <col min="9732" max="9732" width="5.5703125" style="73" customWidth="1"/>
    <col min="9733" max="9734" width="5.7109375" style="73" customWidth="1"/>
    <col min="9735" max="9735" width="9.85546875" style="73" customWidth="1"/>
    <col min="9736" max="9736" width="9.7109375" style="73" customWidth="1"/>
    <col min="9737" max="9737" width="8.85546875" style="73" customWidth="1"/>
    <col min="9738" max="9738" width="10" style="73" customWidth="1"/>
    <col min="9739" max="9739" width="8.28515625" style="73" customWidth="1"/>
    <col min="9740" max="9740" width="9.5703125" style="73" customWidth="1"/>
    <col min="9741" max="9741" width="15.5703125" style="73" customWidth="1"/>
    <col min="9742" max="9973" width="9.140625" style="73"/>
    <col min="9974" max="9974" width="6.85546875" style="73" customWidth="1"/>
    <col min="9975" max="9975" width="2.140625" style="73" customWidth="1"/>
    <col min="9976" max="9976" width="6.140625" style="73" customWidth="1"/>
    <col min="9977" max="9977" width="8.85546875" style="73" customWidth="1"/>
    <col min="9978" max="9978" width="28.42578125" style="73" customWidth="1"/>
    <col min="9979" max="9979" width="13.85546875" style="73" customWidth="1"/>
    <col min="9980" max="9980" width="8.42578125" style="73" customWidth="1"/>
    <col min="9981" max="9984" width="0" style="73" hidden="1" customWidth="1"/>
    <col min="9985" max="9985" width="5.28515625" style="73" customWidth="1"/>
    <col min="9986" max="9986" width="5.5703125" style="73" customWidth="1"/>
    <col min="9987" max="9987" width="6" style="73" customWidth="1"/>
    <col min="9988" max="9988" width="5.5703125" style="73" customWidth="1"/>
    <col min="9989" max="9990" width="5.7109375" style="73" customWidth="1"/>
    <col min="9991" max="9991" width="9.85546875" style="73" customWidth="1"/>
    <col min="9992" max="9992" width="9.7109375" style="73" customWidth="1"/>
    <col min="9993" max="9993" width="8.85546875" style="73" customWidth="1"/>
    <col min="9994" max="9994" width="10" style="73" customWidth="1"/>
    <col min="9995" max="9995" width="8.28515625" style="73" customWidth="1"/>
    <col min="9996" max="9996" width="9.5703125" style="73" customWidth="1"/>
    <col min="9997" max="9997" width="15.5703125" style="73" customWidth="1"/>
    <col min="9998" max="10229" width="9.140625" style="73"/>
    <col min="10230" max="10230" width="6.85546875" style="73" customWidth="1"/>
    <col min="10231" max="10231" width="2.140625" style="73" customWidth="1"/>
    <col min="10232" max="10232" width="6.140625" style="73" customWidth="1"/>
    <col min="10233" max="10233" width="8.85546875" style="73" customWidth="1"/>
    <col min="10234" max="10234" width="28.42578125" style="73" customWidth="1"/>
    <col min="10235" max="10235" width="13.85546875" style="73" customWidth="1"/>
    <col min="10236" max="10236" width="8.42578125" style="73" customWidth="1"/>
    <col min="10237" max="10240" width="0" style="73" hidden="1" customWidth="1"/>
    <col min="10241" max="10241" width="5.28515625" style="73" customWidth="1"/>
    <col min="10242" max="10242" width="5.5703125" style="73" customWidth="1"/>
    <col min="10243" max="10243" width="6" style="73" customWidth="1"/>
    <col min="10244" max="10244" width="5.5703125" style="73" customWidth="1"/>
    <col min="10245" max="10246" width="5.7109375" style="73" customWidth="1"/>
    <col min="10247" max="10247" width="9.85546875" style="73" customWidth="1"/>
    <col min="10248" max="10248" width="9.7109375" style="73" customWidth="1"/>
    <col min="10249" max="10249" width="8.85546875" style="73" customWidth="1"/>
    <col min="10250" max="10250" width="10" style="73" customWidth="1"/>
    <col min="10251" max="10251" width="8.28515625" style="73" customWidth="1"/>
    <col min="10252" max="10252" width="9.5703125" style="73" customWidth="1"/>
    <col min="10253" max="10253" width="15.5703125" style="73" customWidth="1"/>
    <col min="10254" max="10485" width="9.140625" style="73"/>
    <col min="10486" max="10486" width="6.85546875" style="73" customWidth="1"/>
    <col min="10487" max="10487" width="2.140625" style="73" customWidth="1"/>
    <col min="10488" max="10488" width="6.140625" style="73" customWidth="1"/>
    <col min="10489" max="10489" width="8.85546875" style="73" customWidth="1"/>
    <col min="10490" max="10490" width="28.42578125" style="73" customWidth="1"/>
    <col min="10491" max="10491" width="13.85546875" style="73" customWidth="1"/>
    <col min="10492" max="10492" width="8.42578125" style="73" customWidth="1"/>
    <col min="10493" max="10496" width="0" style="73" hidden="1" customWidth="1"/>
    <col min="10497" max="10497" width="5.28515625" style="73" customWidth="1"/>
    <col min="10498" max="10498" width="5.5703125" style="73" customWidth="1"/>
    <col min="10499" max="10499" width="6" style="73" customWidth="1"/>
    <col min="10500" max="10500" width="5.5703125" style="73" customWidth="1"/>
    <col min="10501" max="10502" width="5.7109375" style="73" customWidth="1"/>
    <col min="10503" max="10503" width="9.85546875" style="73" customWidth="1"/>
    <col min="10504" max="10504" width="9.7109375" style="73" customWidth="1"/>
    <col min="10505" max="10505" width="8.85546875" style="73" customWidth="1"/>
    <col min="10506" max="10506" width="10" style="73" customWidth="1"/>
    <col min="10507" max="10507" width="8.28515625" style="73" customWidth="1"/>
    <col min="10508" max="10508" width="9.5703125" style="73" customWidth="1"/>
    <col min="10509" max="10509" width="15.5703125" style="73" customWidth="1"/>
    <col min="10510" max="10741" width="9.140625" style="73"/>
    <col min="10742" max="10742" width="6.85546875" style="73" customWidth="1"/>
    <col min="10743" max="10743" width="2.140625" style="73" customWidth="1"/>
    <col min="10744" max="10744" width="6.140625" style="73" customWidth="1"/>
    <col min="10745" max="10745" width="8.85546875" style="73" customWidth="1"/>
    <col min="10746" max="10746" width="28.42578125" style="73" customWidth="1"/>
    <col min="10747" max="10747" width="13.85546875" style="73" customWidth="1"/>
    <col min="10748" max="10748" width="8.42578125" style="73" customWidth="1"/>
    <col min="10749" max="10752" width="0" style="73" hidden="1" customWidth="1"/>
    <col min="10753" max="10753" width="5.28515625" style="73" customWidth="1"/>
    <col min="10754" max="10754" width="5.5703125" style="73" customWidth="1"/>
    <col min="10755" max="10755" width="6" style="73" customWidth="1"/>
    <col min="10756" max="10756" width="5.5703125" style="73" customWidth="1"/>
    <col min="10757" max="10758" width="5.7109375" style="73" customWidth="1"/>
    <col min="10759" max="10759" width="9.85546875" style="73" customWidth="1"/>
    <col min="10760" max="10760" width="9.7109375" style="73" customWidth="1"/>
    <col min="10761" max="10761" width="8.85546875" style="73" customWidth="1"/>
    <col min="10762" max="10762" width="10" style="73" customWidth="1"/>
    <col min="10763" max="10763" width="8.28515625" style="73" customWidth="1"/>
    <col min="10764" max="10764" width="9.5703125" style="73" customWidth="1"/>
    <col min="10765" max="10765" width="15.5703125" style="73" customWidth="1"/>
    <col min="10766" max="10997" width="9.140625" style="73"/>
    <col min="10998" max="10998" width="6.85546875" style="73" customWidth="1"/>
    <col min="10999" max="10999" width="2.140625" style="73" customWidth="1"/>
    <col min="11000" max="11000" width="6.140625" style="73" customWidth="1"/>
    <col min="11001" max="11001" width="8.85546875" style="73" customWidth="1"/>
    <col min="11002" max="11002" width="28.42578125" style="73" customWidth="1"/>
    <col min="11003" max="11003" width="13.85546875" style="73" customWidth="1"/>
    <col min="11004" max="11004" width="8.42578125" style="73" customWidth="1"/>
    <col min="11005" max="11008" width="0" style="73" hidden="1" customWidth="1"/>
    <col min="11009" max="11009" width="5.28515625" style="73" customWidth="1"/>
    <col min="11010" max="11010" width="5.5703125" style="73" customWidth="1"/>
    <col min="11011" max="11011" width="6" style="73" customWidth="1"/>
    <col min="11012" max="11012" width="5.5703125" style="73" customWidth="1"/>
    <col min="11013" max="11014" width="5.7109375" style="73" customWidth="1"/>
    <col min="11015" max="11015" width="9.85546875" style="73" customWidth="1"/>
    <col min="11016" max="11016" width="9.7109375" style="73" customWidth="1"/>
    <col min="11017" max="11017" width="8.85546875" style="73" customWidth="1"/>
    <col min="11018" max="11018" width="10" style="73" customWidth="1"/>
    <col min="11019" max="11019" width="8.28515625" style="73" customWidth="1"/>
    <col min="11020" max="11020" width="9.5703125" style="73" customWidth="1"/>
    <col min="11021" max="11021" width="15.5703125" style="73" customWidth="1"/>
    <col min="11022" max="11253" width="9.140625" style="73"/>
    <col min="11254" max="11254" width="6.85546875" style="73" customWidth="1"/>
    <col min="11255" max="11255" width="2.140625" style="73" customWidth="1"/>
    <col min="11256" max="11256" width="6.140625" style="73" customWidth="1"/>
    <col min="11257" max="11257" width="8.85546875" style="73" customWidth="1"/>
    <col min="11258" max="11258" width="28.42578125" style="73" customWidth="1"/>
    <col min="11259" max="11259" width="13.85546875" style="73" customWidth="1"/>
    <col min="11260" max="11260" width="8.42578125" style="73" customWidth="1"/>
    <col min="11261" max="11264" width="0" style="73" hidden="1" customWidth="1"/>
    <col min="11265" max="11265" width="5.28515625" style="73" customWidth="1"/>
    <col min="11266" max="11266" width="5.5703125" style="73" customWidth="1"/>
    <col min="11267" max="11267" width="6" style="73" customWidth="1"/>
    <col min="11268" max="11268" width="5.5703125" style="73" customWidth="1"/>
    <col min="11269" max="11270" width="5.7109375" style="73" customWidth="1"/>
    <col min="11271" max="11271" width="9.85546875" style="73" customWidth="1"/>
    <col min="11272" max="11272" width="9.7109375" style="73" customWidth="1"/>
    <col min="11273" max="11273" width="8.85546875" style="73" customWidth="1"/>
    <col min="11274" max="11274" width="10" style="73" customWidth="1"/>
    <col min="11275" max="11275" width="8.28515625" style="73" customWidth="1"/>
    <col min="11276" max="11276" width="9.5703125" style="73" customWidth="1"/>
    <col min="11277" max="11277" width="15.5703125" style="73" customWidth="1"/>
    <col min="11278" max="11509" width="9.140625" style="73"/>
    <col min="11510" max="11510" width="6.85546875" style="73" customWidth="1"/>
    <col min="11511" max="11511" width="2.140625" style="73" customWidth="1"/>
    <col min="11512" max="11512" width="6.140625" style="73" customWidth="1"/>
    <col min="11513" max="11513" width="8.85546875" style="73" customWidth="1"/>
    <col min="11514" max="11514" width="28.42578125" style="73" customWidth="1"/>
    <col min="11515" max="11515" width="13.85546875" style="73" customWidth="1"/>
    <col min="11516" max="11516" width="8.42578125" style="73" customWidth="1"/>
    <col min="11517" max="11520" width="0" style="73" hidden="1" customWidth="1"/>
    <col min="11521" max="11521" width="5.28515625" style="73" customWidth="1"/>
    <col min="11522" max="11522" width="5.5703125" style="73" customWidth="1"/>
    <col min="11523" max="11523" width="6" style="73" customWidth="1"/>
    <col min="11524" max="11524" width="5.5703125" style="73" customWidth="1"/>
    <col min="11525" max="11526" width="5.7109375" style="73" customWidth="1"/>
    <col min="11527" max="11527" width="9.85546875" style="73" customWidth="1"/>
    <col min="11528" max="11528" width="9.7109375" style="73" customWidth="1"/>
    <col min="11529" max="11529" width="8.85546875" style="73" customWidth="1"/>
    <col min="11530" max="11530" width="10" style="73" customWidth="1"/>
    <col min="11531" max="11531" width="8.28515625" style="73" customWidth="1"/>
    <col min="11532" max="11532" width="9.5703125" style="73" customWidth="1"/>
    <col min="11533" max="11533" width="15.5703125" style="73" customWidth="1"/>
    <col min="11534" max="11765" width="9.140625" style="73"/>
    <col min="11766" max="11766" width="6.85546875" style="73" customWidth="1"/>
    <col min="11767" max="11767" width="2.140625" style="73" customWidth="1"/>
    <col min="11768" max="11768" width="6.140625" style="73" customWidth="1"/>
    <col min="11769" max="11769" width="8.85546875" style="73" customWidth="1"/>
    <col min="11770" max="11770" width="28.42578125" style="73" customWidth="1"/>
    <col min="11771" max="11771" width="13.85546875" style="73" customWidth="1"/>
    <col min="11772" max="11772" width="8.42578125" style="73" customWidth="1"/>
    <col min="11773" max="11776" width="0" style="73" hidden="1" customWidth="1"/>
    <col min="11777" max="11777" width="5.28515625" style="73" customWidth="1"/>
    <col min="11778" max="11778" width="5.5703125" style="73" customWidth="1"/>
    <col min="11779" max="11779" width="6" style="73" customWidth="1"/>
    <col min="11780" max="11780" width="5.5703125" style="73" customWidth="1"/>
    <col min="11781" max="11782" width="5.7109375" style="73" customWidth="1"/>
    <col min="11783" max="11783" width="9.85546875" style="73" customWidth="1"/>
    <col min="11784" max="11784" width="9.7109375" style="73" customWidth="1"/>
    <col min="11785" max="11785" width="8.85546875" style="73" customWidth="1"/>
    <col min="11786" max="11786" width="10" style="73" customWidth="1"/>
    <col min="11787" max="11787" width="8.28515625" style="73" customWidth="1"/>
    <col min="11788" max="11788" width="9.5703125" style="73" customWidth="1"/>
    <col min="11789" max="11789" width="15.5703125" style="73" customWidth="1"/>
    <col min="11790" max="12021" width="9.140625" style="73"/>
    <col min="12022" max="12022" width="6.85546875" style="73" customWidth="1"/>
    <col min="12023" max="12023" width="2.140625" style="73" customWidth="1"/>
    <col min="12024" max="12024" width="6.140625" style="73" customWidth="1"/>
    <col min="12025" max="12025" width="8.85546875" style="73" customWidth="1"/>
    <col min="12026" max="12026" width="28.42578125" style="73" customWidth="1"/>
    <col min="12027" max="12027" width="13.85546875" style="73" customWidth="1"/>
    <col min="12028" max="12028" width="8.42578125" style="73" customWidth="1"/>
    <col min="12029" max="12032" width="0" style="73" hidden="1" customWidth="1"/>
    <col min="12033" max="12033" width="5.28515625" style="73" customWidth="1"/>
    <col min="12034" max="12034" width="5.5703125" style="73" customWidth="1"/>
    <col min="12035" max="12035" width="6" style="73" customWidth="1"/>
    <col min="12036" max="12036" width="5.5703125" style="73" customWidth="1"/>
    <col min="12037" max="12038" width="5.7109375" style="73" customWidth="1"/>
    <col min="12039" max="12039" width="9.85546875" style="73" customWidth="1"/>
    <col min="12040" max="12040" width="9.7109375" style="73" customWidth="1"/>
    <col min="12041" max="12041" width="8.85546875" style="73" customWidth="1"/>
    <col min="12042" max="12042" width="10" style="73" customWidth="1"/>
    <col min="12043" max="12043" width="8.28515625" style="73" customWidth="1"/>
    <col min="12044" max="12044" width="9.5703125" style="73" customWidth="1"/>
    <col min="12045" max="12045" width="15.5703125" style="73" customWidth="1"/>
    <col min="12046" max="12277" width="9.140625" style="73"/>
    <col min="12278" max="12278" width="6.85546875" style="73" customWidth="1"/>
    <col min="12279" max="12279" width="2.140625" style="73" customWidth="1"/>
    <col min="12280" max="12280" width="6.140625" style="73" customWidth="1"/>
    <col min="12281" max="12281" width="8.85546875" style="73" customWidth="1"/>
    <col min="12282" max="12282" width="28.42578125" style="73" customWidth="1"/>
    <col min="12283" max="12283" width="13.85546875" style="73" customWidth="1"/>
    <col min="12284" max="12284" width="8.42578125" style="73" customWidth="1"/>
    <col min="12285" max="12288" width="0" style="73" hidden="1" customWidth="1"/>
    <col min="12289" max="12289" width="5.28515625" style="73" customWidth="1"/>
    <col min="12290" max="12290" width="5.5703125" style="73" customWidth="1"/>
    <col min="12291" max="12291" width="6" style="73" customWidth="1"/>
    <col min="12292" max="12292" width="5.5703125" style="73" customWidth="1"/>
    <col min="12293" max="12294" width="5.7109375" style="73" customWidth="1"/>
    <col min="12295" max="12295" width="9.85546875" style="73" customWidth="1"/>
    <col min="12296" max="12296" width="9.7109375" style="73" customWidth="1"/>
    <col min="12297" max="12297" width="8.85546875" style="73" customWidth="1"/>
    <col min="12298" max="12298" width="10" style="73" customWidth="1"/>
    <col min="12299" max="12299" width="8.28515625" style="73" customWidth="1"/>
    <col min="12300" max="12300" width="9.5703125" style="73" customWidth="1"/>
    <col min="12301" max="12301" width="15.5703125" style="73" customWidth="1"/>
    <col min="12302" max="12533" width="9.140625" style="73"/>
    <col min="12534" max="12534" width="6.85546875" style="73" customWidth="1"/>
    <col min="12535" max="12535" width="2.140625" style="73" customWidth="1"/>
    <col min="12536" max="12536" width="6.140625" style="73" customWidth="1"/>
    <col min="12537" max="12537" width="8.85546875" style="73" customWidth="1"/>
    <col min="12538" max="12538" width="28.42578125" style="73" customWidth="1"/>
    <col min="12539" max="12539" width="13.85546875" style="73" customWidth="1"/>
    <col min="12540" max="12540" width="8.42578125" style="73" customWidth="1"/>
    <col min="12541" max="12544" width="0" style="73" hidden="1" customWidth="1"/>
    <col min="12545" max="12545" width="5.28515625" style="73" customWidth="1"/>
    <col min="12546" max="12546" width="5.5703125" style="73" customWidth="1"/>
    <col min="12547" max="12547" width="6" style="73" customWidth="1"/>
    <col min="12548" max="12548" width="5.5703125" style="73" customWidth="1"/>
    <col min="12549" max="12550" width="5.7109375" style="73" customWidth="1"/>
    <col min="12551" max="12551" width="9.85546875" style="73" customWidth="1"/>
    <col min="12552" max="12552" width="9.7109375" style="73" customWidth="1"/>
    <col min="12553" max="12553" width="8.85546875" style="73" customWidth="1"/>
    <col min="12554" max="12554" width="10" style="73" customWidth="1"/>
    <col min="12555" max="12555" width="8.28515625" style="73" customWidth="1"/>
    <col min="12556" max="12556" width="9.5703125" style="73" customWidth="1"/>
    <col min="12557" max="12557" width="15.5703125" style="73" customWidth="1"/>
    <col min="12558" max="12789" width="9.140625" style="73"/>
    <col min="12790" max="12790" width="6.85546875" style="73" customWidth="1"/>
    <col min="12791" max="12791" width="2.140625" style="73" customWidth="1"/>
    <col min="12792" max="12792" width="6.140625" style="73" customWidth="1"/>
    <col min="12793" max="12793" width="8.85546875" style="73" customWidth="1"/>
    <col min="12794" max="12794" width="28.42578125" style="73" customWidth="1"/>
    <col min="12795" max="12795" width="13.85546875" style="73" customWidth="1"/>
    <col min="12796" max="12796" width="8.42578125" style="73" customWidth="1"/>
    <col min="12797" max="12800" width="0" style="73" hidden="1" customWidth="1"/>
    <col min="12801" max="12801" width="5.28515625" style="73" customWidth="1"/>
    <col min="12802" max="12802" width="5.5703125" style="73" customWidth="1"/>
    <col min="12803" max="12803" width="6" style="73" customWidth="1"/>
    <col min="12804" max="12804" width="5.5703125" style="73" customWidth="1"/>
    <col min="12805" max="12806" width="5.7109375" style="73" customWidth="1"/>
    <col min="12807" max="12807" width="9.85546875" style="73" customWidth="1"/>
    <col min="12808" max="12808" width="9.7109375" style="73" customWidth="1"/>
    <col min="12809" max="12809" width="8.85546875" style="73" customWidth="1"/>
    <col min="12810" max="12810" width="10" style="73" customWidth="1"/>
    <col min="12811" max="12811" width="8.28515625" style="73" customWidth="1"/>
    <col min="12812" max="12812" width="9.5703125" style="73" customWidth="1"/>
    <col min="12813" max="12813" width="15.5703125" style="73" customWidth="1"/>
    <col min="12814" max="13045" width="9.140625" style="73"/>
    <col min="13046" max="13046" width="6.85546875" style="73" customWidth="1"/>
    <col min="13047" max="13047" width="2.140625" style="73" customWidth="1"/>
    <col min="13048" max="13048" width="6.140625" style="73" customWidth="1"/>
    <col min="13049" max="13049" width="8.85546875" style="73" customWidth="1"/>
    <col min="13050" max="13050" width="28.42578125" style="73" customWidth="1"/>
    <col min="13051" max="13051" width="13.85546875" style="73" customWidth="1"/>
    <col min="13052" max="13052" width="8.42578125" style="73" customWidth="1"/>
    <col min="13053" max="13056" width="0" style="73" hidden="1" customWidth="1"/>
    <col min="13057" max="13057" width="5.28515625" style="73" customWidth="1"/>
    <col min="13058" max="13058" width="5.5703125" style="73" customWidth="1"/>
    <col min="13059" max="13059" width="6" style="73" customWidth="1"/>
    <col min="13060" max="13060" width="5.5703125" style="73" customWidth="1"/>
    <col min="13061" max="13062" width="5.7109375" style="73" customWidth="1"/>
    <col min="13063" max="13063" width="9.85546875" style="73" customWidth="1"/>
    <col min="13064" max="13064" width="9.7109375" style="73" customWidth="1"/>
    <col min="13065" max="13065" width="8.85546875" style="73" customWidth="1"/>
    <col min="13066" max="13066" width="10" style="73" customWidth="1"/>
    <col min="13067" max="13067" width="8.28515625" style="73" customWidth="1"/>
    <col min="13068" max="13068" width="9.5703125" style="73" customWidth="1"/>
    <col min="13069" max="13069" width="15.5703125" style="73" customWidth="1"/>
    <col min="13070" max="13301" width="9.140625" style="73"/>
    <col min="13302" max="13302" width="6.85546875" style="73" customWidth="1"/>
    <col min="13303" max="13303" width="2.140625" style="73" customWidth="1"/>
    <col min="13304" max="13304" width="6.140625" style="73" customWidth="1"/>
    <col min="13305" max="13305" width="8.85546875" style="73" customWidth="1"/>
    <col min="13306" max="13306" width="28.42578125" style="73" customWidth="1"/>
    <col min="13307" max="13307" width="13.85546875" style="73" customWidth="1"/>
    <col min="13308" max="13308" width="8.42578125" style="73" customWidth="1"/>
    <col min="13309" max="13312" width="0" style="73" hidden="1" customWidth="1"/>
    <col min="13313" max="13313" width="5.28515625" style="73" customWidth="1"/>
    <col min="13314" max="13314" width="5.5703125" style="73" customWidth="1"/>
    <col min="13315" max="13315" width="6" style="73" customWidth="1"/>
    <col min="13316" max="13316" width="5.5703125" style="73" customWidth="1"/>
    <col min="13317" max="13318" width="5.7109375" style="73" customWidth="1"/>
    <col min="13319" max="13319" width="9.85546875" style="73" customWidth="1"/>
    <col min="13320" max="13320" width="9.7109375" style="73" customWidth="1"/>
    <col min="13321" max="13321" width="8.85546875" style="73" customWidth="1"/>
    <col min="13322" max="13322" width="10" style="73" customWidth="1"/>
    <col min="13323" max="13323" width="8.28515625" style="73" customWidth="1"/>
    <col min="13324" max="13324" width="9.5703125" style="73" customWidth="1"/>
    <col min="13325" max="13325" width="15.5703125" style="73" customWidth="1"/>
    <col min="13326" max="13557" width="9.140625" style="73"/>
    <col min="13558" max="13558" width="6.85546875" style="73" customWidth="1"/>
    <col min="13559" max="13559" width="2.140625" style="73" customWidth="1"/>
    <col min="13560" max="13560" width="6.140625" style="73" customWidth="1"/>
    <col min="13561" max="13561" width="8.85546875" style="73" customWidth="1"/>
    <col min="13562" max="13562" width="28.42578125" style="73" customWidth="1"/>
    <col min="13563" max="13563" width="13.85546875" style="73" customWidth="1"/>
    <col min="13564" max="13564" width="8.42578125" style="73" customWidth="1"/>
    <col min="13565" max="13568" width="0" style="73" hidden="1" customWidth="1"/>
    <col min="13569" max="13569" width="5.28515625" style="73" customWidth="1"/>
    <col min="13570" max="13570" width="5.5703125" style="73" customWidth="1"/>
    <col min="13571" max="13571" width="6" style="73" customWidth="1"/>
    <col min="13572" max="13572" width="5.5703125" style="73" customWidth="1"/>
    <col min="13573" max="13574" width="5.7109375" style="73" customWidth="1"/>
    <col min="13575" max="13575" width="9.85546875" style="73" customWidth="1"/>
    <col min="13576" max="13576" width="9.7109375" style="73" customWidth="1"/>
    <col min="13577" max="13577" width="8.85546875" style="73" customWidth="1"/>
    <col min="13578" max="13578" width="10" style="73" customWidth="1"/>
    <col min="13579" max="13579" width="8.28515625" style="73" customWidth="1"/>
    <col min="13580" max="13580" width="9.5703125" style="73" customWidth="1"/>
    <col min="13581" max="13581" width="15.5703125" style="73" customWidth="1"/>
    <col min="13582" max="13813" width="9.140625" style="73"/>
    <col min="13814" max="13814" width="6.85546875" style="73" customWidth="1"/>
    <col min="13815" max="13815" width="2.140625" style="73" customWidth="1"/>
    <col min="13816" max="13816" width="6.140625" style="73" customWidth="1"/>
    <col min="13817" max="13817" width="8.85546875" style="73" customWidth="1"/>
    <col min="13818" max="13818" width="28.42578125" style="73" customWidth="1"/>
    <col min="13819" max="13819" width="13.85546875" style="73" customWidth="1"/>
    <col min="13820" max="13820" width="8.42578125" style="73" customWidth="1"/>
    <col min="13821" max="13824" width="0" style="73" hidden="1" customWidth="1"/>
    <col min="13825" max="13825" width="5.28515625" style="73" customWidth="1"/>
    <col min="13826" max="13826" width="5.5703125" style="73" customWidth="1"/>
    <col min="13827" max="13827" width="6" style="73" customWidth="1"/>
    <col min="13828" max="13828" width="5.5703125" style="73" customWidth="1"/>
    <col min="13829" max="13830" width="5.7109375" style="73" customWidth="1"/>
    <col min="13831" max="13831" width="9.85546875" style="73" customWidth="1"/>
    <col min="13832" max="13832" width="9.7109375" style="73" customWidth="1"/>
    <col min="13833" max="13833" width="8.85546875" style="73" customWidth="1"/>
    <col min="13834" max="13834" width="10" style="73" customWidth="1"/>
    <col min="13835" max="13835" width="8.28515625" style="73" customWidth="1"/>
    <col min="13836" max="13836" width="9.5703125" style="73" customWidth="1"/>
    <col min="13837" max="13837" width="15.5703125" style="73" customWidth="1"/>
    <col min="13838" max="14069" width="9.140625" style="73"/>
    <col min="14070" max="14070" width="6.85546875" style="73" customWidth="1"/>
    <col min="14071" max="14071" width="2.140625" style="73" customWidth="1"/>
    <col min="14072" max="14072" width="6.140625" style="73" customWidth="1"/>
    <col min="14073" max="14073" width="8.85546875" style="73" customWidth="1"/>
    <col min="14074" max="14074" width="28.42578125" style="73" customWidth="1"/>
    <col min="14075" max="14075" width="13.85546875" style="73" customWidth="1"/>
    <col min="14076" max="14076" width="8.42578125" style="73" customWidth="1"/>
    <col min="14077" max="14080" width="0" style="73" hidden="1" customWidth="1"/>
    <col min="14081" max="14081" width="5.28515625" style="73" customWidth="1"/>
    <col min="14082" max="14082" width="5.5703125" style="73" customWidth="1"/>
    <col min="14083" max="14083" width="6" style="73" customWidth="1"/>
    <col min="14084" max="14084" width="5.5703125" style="73" customWidth="1"/>
    <col min="14085" max="14086" width="5.7109375" style="73" customWidth="1"/>
    <col min="14087" max="14087" width="9.85546875" style="73" customWidth="1"/>
    <col min="14088" max="14088" width="9.7109375" style="73" customWidth="1"/>
    <col min="14089" max="14089" width="8.85546875" style="73" customWidth="1"/>
    <col min="14090" max="14090" width="10" style="73" customWidth="1"/>
    <col min="14091" max="14091" width="8.28515625" style="73" customWidth="1"/>
    <col min="14092" max="14092" width="9.5703125" style="73" customWidth="1"/>
    <col min="14093" max="14093" width="15.5703125" style="73" customWidth="1"/>
    <col min="14094" max="14325" width="9.140625" style="73"/>
    <col min="14326" max="14326" width="6.85546875" style="73" customWidth="1"/>
    <col min="14327" max="14327" width="2.140625" style="73" customWidth="1"/>
    <col min="14328" max="14328" width="6.140625" style="73" customWidth="1"/>
    <col min="14329" max="14329" width="8.85546875" style="73" customWidth="1"/>
    <col min="14330" max="14330" width="28.42578125" style="73" customWidth="1"/>
    <col min="14331" max="14331" width="13.85546875" style="73" customWidth="1"/>
    <col min="14332" max="14332" width="8.42578125" style="73" customWidth="1"/>
    <col min="14333" max="14336" width="0" style="73" hidden="1" customWidth="1"/>
    <col min="14337" max="14337" width="5.28515625" style="73" customWidth="1"/>
    <col min="14338" max="14338" width="5.5703125" style="73" customWidth="1"/>
    <col min="14339" max="14339" width="6" style="73" customWidth="1"/>
    <col min="14340" max="14340" width="5.5703125" style="73" customWidth="1"/>
    <col min="14341" max="14342" width="5.7109375" style="73" customWidth="1"/>
    <col min="14343" max="14343" width="9.85546875" style="73" customWidth="1"/>
    <col min="14344" max="14344" width="9.7109375" style="73" customWidth="1"/>
    <col min="14345" max="14345" width="8.85546875" style="73" customWidth="1"/>
    <col min="14346" max="14346" width="10" style="73" customWidth="1"/>
    <col min="14347" max="14347" width="8.28515625" style="73" customWidth="1"/>
    <col min="14348" max="14348" width="9.5703125" style="73" customWidth="1"/>
    <col min="14349" max="14349" width="15.5703125" style="73" customWidth="1"/>
    <col min="14350" max="14581" width="9.140625" style="73"/>
    <col min="14582" max="14582" width="6.85546875" style="73" customWidth="1"/>
    <col min="14583" max="14583" width="2.140625" style="73" customWidth="1"/>
    <col min="14584" max="14584" width="6.140625" style="73" customWidth="1"/>
    <col min="14585" max="14585" width="8.85546875" style="73" customWidth="1"/>
    <col min="14586" max="14586" width="28.42578125" style="73" customWidth="1"/>
    <col min="14587" max="14587" width="13.85546875" style="73" customWidth="1"/>
    <col min="14588" max="14588" width="8.42578125" style="73" customWidth="1"/>
    <col min="14589" max="14592" width="0" style="73" hidden="1" customWidth="1"/>
    <col min="14593" max="14593" width="5.28515625" style="73" customWidth="1"/>
    <col min="14594" max="14594" width="5.5703125" style="73" customWidth="1"/>
    <col min="14595" max="14595" width="6" style="73" customWidth="1"/>
    <col min="14596" max="14596" width="5.5703125" style="73" customWidth="1"/>
    <col min="14597" max="14598" width="5.7109375" style="73" customWidth="1"/>
    <col min="14599" max="14599" width="9.85546875" style="73" customWidth="1"/>
    <col min="14600" max="14600" width="9.7109375" style="73" customWidth="1"/>
    <col min="14601" max="14601" width="8.85546875" style="73" customWidth="1"/>
    <col min="14602" max="14602" width="10" style="73" customWidth="1"/>
    <col min="14603" max="14603" width="8.28515625" style="73" customWidth="1"/>
    <col min="14604" max="14604" width="9.5703125" style="73" customWidth="1"/>
    <col min="14605" max="14605" width="15.5703125" style="73" customWidth="1"/>
    <col min="14606" max="14837" width="9.140625" style="73"/>
    <col min="14838" max="14838" width="6.85546875" style="73" customWidth="1"/>
    <col min="14839" max="14839" width="2.140625" style="73" customWidth="1"/>
    <col min="14840" max="14840" width="6.140625" style="73" customWidth="1"/>
    <col min="14841" max="14841" width="8.85546875" style="73" customWidth="1"/>
    <col min="14842" max="14842" width="28.42578125" style="73" customWidth="1"/>
    <col min="14843" max="14843" width="13.85546875" style="73" customWidth="1"/>
    <col min="14844" max="14844" width="8.42578125" style="73" customWidth="1"/>
    <col min="14845" max="14848" width="0" style="73" hidden="1" customWidth="1"/>
    <col min="14849" max="14849" width="5.28515625" style="73" customWidth="1"/>
    <col min="14850" max="14850" width="5.5703125" style="73" customWidth="1"/>
    <col min="14851" max="14851" width="6" style="73" customWidth="1"/>
    <col min="14852" max="14852" width="5.5703125" style="73" customWidth="1"/>
    <col min="14853" max="14854" width="5.7109375" style="73" customWidth="1"/>
    <col min="14855" max="14855" width="9.85546875" style="73" customWidth="1"/>
    <col min="14856" max="14856" width="9.7109375" style="73" customWidth="1"/>
    <col min="14857" max="14857" width="8.85546875" style="73" customWidth="1"/>
    <col min="14858" max="14858" width="10" style="73" customWidth="1"/>
    <col min="14859" max="14859" width="8.28515625" style="73" customWidth="1"/>
    <col min="14860" max="14860" width="9.5703125" style="73" customWidth="1"/>
    <col min="14861" max="14861" width="15.5703125" style="73" customWidth="1"/>
    <col min="14862" max="15093" width="9.140625" style="73"/>
    <col min="15094" max="15094" width="6.85546875" style="73" customWidth="1"/>
    <col min="15095" max="15095" width="2.140625" style="73" customWidth="1"/>
    <col min="15096" max="15096" width="6.140625" style="73" customWidth="1"/>
    <col min="15097" max="15097" width="8.85546875" style="73" customWidth="1"/>
    <col min="15098" max="15098" width="28.42578125" style="73" customWidth="1"/>
    <col min="15099" max="15099" width="13.85546875" style="73" customWidth="1"/>
    <col min="15100" max="15100" width="8.42578125" style="73" customWidth="1"/>
    <col min="15101" max="15104" width="0" style="73" hidden="1" customWidth="1"/>
    <col min="15105" max="15105" width="5.28515625" style="73" customWidth="1"/>
    <col min="15106" max="15106" width="5.5703125" style="73" customWidth="1"/>
    <col min="15107" max="15107" width="6" style="73" customWidth="1"/>
    <col min="15108" max="15108" width="5.5703125" style="73" customWidth="1"/>
    <col min="15109" max="15110" width="5.7109375" style="73" customWidth="1"/>
    <col min="15111" max="15111" width="9.85546875" style="73" customWidth="1"/>
    <col min="15112" max="15112" width="9.7109375" style="73" customWidth="1"/>
    <col min="15113" max="15113" width="8.85546875" style="73" customWidth="1"/>
    <col min="15114" max="15114" width="10" style="73" customWidth="1"/>
    <col min="15115" max="15115" width="8.28515625" style="73" customWidth="1"/>
    <col min="15116" max="15116" width="9.5703125" style="73" customWidth="1"/>
    <col min="15117" max="15117" width="15.5703125" style="73" customWidth="1"/>
    <col min="15118" max="15349" width="9.140625" style="73"/>
    <col min="15350" max="15350" width="6.85546875" style="73" customWidth="1"/>
    <col min="15351" max="15351" width="2.140625" style="73" customWidth="1"/>
    <col min="15352" max="15352" width="6.140625" style="73" customWidth="1"/>
    <col min="15353" max="15353" width="8.85546875" style="73" customWidth="1"/>
    <col min="15354" max="15354" width="28.42578125" style="73" customWidth="1"/>
    <col min="15355" max="15355" width="13.85546875" style="73" customWidth="1"/>
    <col min="15356" max="15356" width="8.42578125" style="73" customWidth="1"/>
    <col min="15357" max="15360" width="0" style="73" hidden="1" customWidth="1"/>
    <col min="15361" max="15361" width="5.28515625" style="73" customWidth="1"/>
    <col min="15362" max="15362" width="5.5703125" style="73" customWidth="1"/>
    <col min="15363" max="15363" width="6" style="73" customWidth="1"/>
    <col min="15364" max="15364" width="5.5703125" style="73" customWidth="1"/>
    <col min="15365" max="15366" width="5.7109375" style="73" customWidth="1"/>
    <col min="15367" max="15367" width="9.85546875" style="73" customWidth="1"/>
    <col min="15368" max="15368" width="9.7109375" style="73" customWidth="1"/>
    <col min="15369" max="15369" width="8.85546875" style="73" customWidth="1"/>
    <col min="15370" max="15370" width="10" style="73" customWidth="1"/>
    <col min="15371" max="15371" width="8.28515625" style="73" customWidth="1"/>
    <col min="15372" max="15372" width="9.5703125" style="73" customWidth="1"/>
    <col min="15373" max="15373" width="15.5703125" style="73" customWidth="1"/>
    <col min="15374" max="15605" width="9.140625" style="73"/>
    <col min="15606" max="15606" width="6.85546875" style="73" customWidth="1"/>
    <col min="15607" max="15607" width="2.140625" style="73" customWidth="1"/>
    <col min="15608" max="15608" width="6.140625" style="73" customWidth="1"/>
    <col min="15609" max="15609" width="8.85546875" style="73" customWidth="1"/>
    <col min="15610" max="15610" width="28.42578125" style="73" customWidth="1"/>
    <col min="15611" max="15611" width="13.85546875" style="73" customWidth="1"/>
    <col min="15612" max="15612" width="8.42578125" style="73" customWidth="1"/>
    <col min="15613" max="15616" width="0" style="73" hidden="1" customWidth="1"/>
    <col min="15617" max="15617" width="5.28515625" style="73" customWidth="1"/>
    <col min="15618" max="15618" width="5.5703125" style="73" customWidth="1"/>
    <col min="15619" max="15619" width="6" style="73" customWidth="1"/>
    <col min="15620" max="15620" width="5.5703125" style="73" customWidth="1"/>
    <col min="15621" max="15622" width="5.7109375" style="73" customWidth="1"/>
    <col min="15623" max="15623" width="9.85546875" style="73" customWidth="1"/>
    <col min="15624" max="15624" width="9.7109375" style="73" customWidth="1"/>
    <col min="15625" max="15625" width="8.85546875" style="73" customWidth="1"/>
    <col min="15626" max="15626" width="10" style="73" customWidth="1"/>
    <col min="15627" max="15627" width="8.28515625" style="73" customWidth="1"/>
    <col min="15628" max="15628" width="9.5703125" style="73" customWidth="1"/>
    <col min="15629" max="15629" width="15.5703125" style="73" customWidth="1"/>
    <col min="15630" max="15861" width="9.140625" style="73"/>
    <col min="15862" max="15862" width="6.85546875" style="73" customWidth="1"/>
    <col min="15863" max="15863" width="2.140625" style="73" customWidth="1"/>
    <col min="15864" max="15864" width="6.140625" style="73" customWidth="1"/>
    <col min="15865" max="15865" width="8.85546875" style="73" customWidth="1"/>
    <col min="15866" max="15866" width="28.42578125" style="73" customWidth="1"/>
    <col min="15867" max="15867" width="13.85546875" style="73" customWidth="1"/>
    <col min="15868" max="15868" width="8.42578125" style="73" customWidth="1"/>
    <col min="15869" max="15872" width="0" style="73" hidden="1" customWidth="1"/>
    <col min="15873" max="15873" width="5.28515625" style="73" customWidth="1"/>
    <col min="15874" max="15874" width="5.5703125" style="73" customWidth="1"/>
    <col min="15875" max="15875" width="6" style="73" customWidth="1"/>
    <col min="15876" max="15876" width="5.5703125" style="73" customWidth="1"/>
    <col min="15877" max="15878" width="5.7109375" style="73" customWidth="1"/>
    <col min="15879" max="15879" width="9.85546875" style="73" customWidth="1"/>
    <col min="15880" max="15880" width="9.7109375" style="73" customWidth="1"/>
    <col min="15881" max="15881" width="8.85546875" style="73" customWidth="1"/>
    <col min="15882" max="15882" width="10" style="73" customWidth="1"/>
    <col min="15883" max="15883" width="8.28515625" style="73" customWidth="1"/>
    <col min="15884" max="15884" width="9.5703125" style="73" customWidth="1"/>
    <col min="15885" max="15885" width="15.5703125" style="73" customWidth="1"/>
    <col min="15886" max="16117" width="9.140625" style="73"/>
    <col min="16118" max="16118" width="6.85546875" style="73" customWidth="1"/>
    <col min="16119" max="16119" width="2.140625" style="73" customWidth="1"/>
    <col min="16120" max="16120" width="6.140625" style="73" customWidth="1"/>
    <col min="16121" max="16121" width="8.85546875" style="73" customWidth="1"/>
    <col min="16122" max="16122" width="28.42578125" style="73" customWidth="1"/>
    <col min="16123" max="16123" width="13.85546875" style="73" customWidth="1"/>
    <col min="16124" max="16124" width="8.42578125" style="73" customWidth="1"/>
    <col min="16125" max="16128" width="0" style="73" hidden="1" customWidth="1"/>
    <col min="16129" max="16129" width="5.28515625" style="73" customWidth="1"/>
    <col min="16130" max="16130" width="5.5703125" style="73" customWidth="1"/>
    <col min="16131" max="16131" width="6" style="73" customWidth="1"/>
    <col min="16132" max="16132" width="5.5703125" style="73" customWidth="1"/>
    <col min="16133" max="16134" width="5.7109375" style="73" customWidth="1"/>
    <col min="16135" max="16135" width="9.85546875" style="73" customWidth="1"/>
    <col min="16136" max="16136" width="9.7109375" style="73" customWidth="1"/>
    <col min="16137" max="16137" width="8.85546875" style="73" customWidth="1"/>
    <col min="16138" max="16138" width="10" style="73" customWidth="1"/>
    <col min="16139" max="16139" width="8.28515625" style="73" customWidth="1"/>
    <col min="16140" max="16140" width="9.5703125" style="73" customWidth="1"/>
    <col min="16141" max="16141" width="15.5703125" style="73" customWidth="1"/>
    <col min="16142" max="16384" width="9.140625" style="73"/>
  </cols>
  <sheetData>
    <row r="1" spans="1:25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1"/>
    </row>
    <row r="2" spans="1:25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"/>
    </row>
    <row r="3" spans="1:25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"/>
    </row>
    <row r="4" spans="1:25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1:25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 t="s">
        <v>4</v>
      </c>
    </row>
    <row r="6" spans="1:25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4"/>
    </row>
    <row r="7" spans="1:25" s="6" customFormat="1" ht="18.75" customHeight="1">
      <c r="A7" s="5" t="s">
        <v>6</v>
      </c>
      <c r="C7" s="7"/>
      <c r="D7" s="127" t="s">
        <v>327</v>
      </c>
      <c r="E7" s="7"/>
    </row>
    <row r="8" spans="1:25" s="8" customFormat="1" ht="18.75" customHeight="1">
      <c r="A8" s="5"/>
      <c r="C8" s="9"/>
      <c r="D8" s="128"/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5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6"/>
      <c r="W9" s="6"/>
      <c r="X9" s="6"/>
      <c r="Y9" s="6"/>
    </row>
    <row r="10" spans="1:25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6" t="s">
        <v>312</v>
      </c>
      <c r="V10" s="6"/>
      <c r="W10" s="6"/>
      <c r="X10" s="6"/>
      <c r="Y10" s="6"/>
    </row>
    <row r="11" spans="1:25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R11" s="146" t="s">
        <v>311</v>
      </c>
    </row>
    <row r="12" spans="1:25" s="8" customFormat="1" ht="18.75" customHeight="1" thickBot="1">
      <c r="A12" s="12" t="s">
        <v>9</v>
      </c>
      <c r="C12" s="250">
        <f>O29</f>
        <v>880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O12" s="19"/>
      <c r="P12" s="19"/>
      <c r="Q12" s="19"/>
      <c r="R12" s="19"/>
    </row>
    <row r="13" spans="1:25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229" t="s">
        <v>17</v>
      </c>
      <c r="G13" s="230"/>
      <c r="H13" s="230"/>
      <c r="I13" s="230"/>
      <c r="J13" s="230"/>
      <c r="K13" s="230"/>
      <c r="L13" s="230"/>
      <c r="M13" s="231"/>
      <c r="N13" s="232" t="s">
        <v>18</v>
      </c>
      <c r="O13" s="235" t="s">
        <v>216</v>
      </c>
      <c r="P13" s="20" t="s">
        <v>20</v>
      </c>
      <c r="Q13" s="20" t="s">
        <v>21</v>
      </c>
      <c r="R13" s="20" t="s">
        <v>22</v>
      </c>
      <c r="S13" s="21" t="s">
        <v>23</v>
      </c>
      <c r="T13" s="235" t="s">
        <v>24</v>
      </c>
      <c r="U13" s="238" t="s">
        <v>127</v>
      </c>
      <c r="V13" s="239"/>
      <c r="W13" s="240"/>
      <c r="X13" s="224" t="s">
        <v>310</v>
      </c>
    </row>
    <row r="14" spans="1:25" s="22" customFormat="1" ht="18.75" customHeight="1" thickBot="1">
      <c r="A14" s="254"/>
      <c r="B14" s="255"/>
      <c r="C14" s="256"/>
      <c r="D14" s="261"/>
      <c r="E14" s="264"/>
      <c r="F14" s="327" t="s">
        <v>366</v>
      </c>
      <c r="G14" s="327" t="s">
        <v>371</v>
      </c>
      <c r="H14" s="327" t="s">
        <v>370</v>
      </c>
      <c r="I14" s="327" t="s">
        <v>369</v>
      </c>
      <c r="J14" s="327" t="s">
        <v>373</v>
      </c>
      <c r="K14" s="327" t="s">
        <v>368</v>
      </c>
      <c r="L14" s="327" t="s">
        <v>372</v>
      </c>
      <c r="M14" s="327" t="s">
        <v>367</v>
      </c>
      <c r="N14" s="233"/>
      <c r="O14" s="236"/>
      <c r="P14" s="23"/>
      <c r="Q14" s="23"/>
      <c r="R14" s="23"/>
      <c r="S14" s="24"/>
      <c r="T14" s="236"/>
      <c r="U14" s="241"/>
      <c r="V14" s="242"/>
      <c r="W14" s="243"/>
      <c r="X14" s="225"/>
    </row>
    <row r="15" spans="1:25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34"/>
      <c r="O15" s="237"/>
      <c r="P15" s="25" t="s">
        <v>29</v>
      </c>
      <c r="Q15" s="79" t="s">
        <v>29</v>
      </c>
      <c r="R15" s="25" t="s">
        <v>29</v>
      </c>
      <c r="S15" s="25" t="s">
        <v>29</v>
      </c>
      <c r="T15" s="237"/>
      <c r="U15" s="79" t="s">
        <v>4</v>
      </c>
      <c r="V15" s="79" t="s">
        <v>30</v>
      </c>
      <c r="W15" s="79" t="s">
        <v>31</v>
      </c>
      <c r="X15" s="226"/>
    </row>
    <row r="16" spans="1:25" s="42" customFormat="1" ht="27.75" customHeight="1">
      <c r="A16" s="27">
        <v>1</v>
      </c>
      <c r="B16" s="28" t="s">
        <v>32</v>
      </c>
      <c r="C16" s="27">
        <f t="shared" ref="C16:C28" si="0">+A16+D16-1</f>
        <v>3</v>
      </c>
      <c r="D16" s="27">
        <f t="shared" ref="D16:D28" si="1">+O16/N16</f>
        <v>3</v>
      </c>
      <c r="E16" s="83" t="str">
        <f>+$D$7</f>
        <v>Men's Pants</v>
      </c>
      <c r="F16" s="31">
        <v>40</v>
      </c>
      <c r="G16" s="31"/>
      <c r="H16" s="31"/>
      <c r="I16" s="31"/>
      <c r="J16" s="31"/>
      <c r="K16" s="31"/>
      <c r="L16" s="31"/>
      <c r="M16" s="31"/>
      <c r="N16" s="28">
        <f t="shared" ref="N16:N28" si="2">+SUM(F16:M16)</f>
        <v>40</v>
      </c>
      <c r="O16" s="28">
        <v>120</v>
      </c>
      <c r="P16" s="99"/>
      <c r="Q16" s="99"/>
      <c r="R16" s="105"/>
      <c r="S16" s="35"/>
      <c r="T16" s="82">
        <f t="shared" ref="T16:T28" si="3">+ROUND(D16*U16*V16*W16/1000000,3)</f>
        <v>0.48599999999999999</v>
      </c>
      <c r="U16" s="94">
        <v>90</v>
      </c>
      <c r="V16" s="94">
        <v>60</v>
      </c>
      <c r="W16" s="94">
        <v>30</v>
      </c>
      <c r="X16" s="109" t="s">
        <v>309</v>
      </c>
    </row>
    <row r="17" spans="1:27" s="42" customFormat="1" ht="27.75" customHeight="1">
      <c r="A17" s="27">
        <f>+C16+1</f>
        <v>4</v>
      </c>
      <c r="B17" s="28" t="s">
        <v>32</v>
      </c>
      <c r="C17" s="27">
        <f t="shared" si="0"/>
        <v>5</v>
      </c>
      <c r="D17" s="27">
        <f t="shared" si="1"/>
        <v>2</v>
      </c>
      <c r="E17" s="83" t="str">
        <f t="shared" ref="E17:E28" si="4">+$D$7</f>
        <v>Men's Pants</v>
      </c>
      <c r="F17" s="31">
        <v>30</v>
      </c>
      <c r="G17" s="31"/>
      <c r="H17" s="31"/>
      <c r="I17" s="31"/>
      <c r="J17" s="31"/>
      <c r="K17" s="31"/>
      <c r="L17" s="31"/>
      <c r="M17" s="31"/>
      <c r="N17" s="28">
        <f t="shared" si="2"/>
        <v>30</v>
      </c>
      <c r="O17" s="28">
        <v>60</v>
      </c>
      <c r="P17" s="124"/>
      <c r="Q17" s="124"/>
      <c r="R17" s="125"/>
      <c r="S17" s="126"/>
      <c r="T17" s="82">
        <f t="shared" si="3"/>
        <v>0.32400000000000001</v>
      </c>
      <c r="U17" s="94">
        <v>90</v>
      </c>
      <c r="V17" s="94">
        <v>60</v>
      </c>
      <c r="W17" s="94">
        <v>30</v>
      </c>
      <c r="X17" s="109" t="s">
        <v>309</v>
      </c>
    </row>
    <row r="18" spans="1:27" s="42" customFormat="1" ht="27.75" customHeight="1">
      <c r="A18" s="27">
        <f t="shared" ref="A18:A21" si="5">+C17+1</f>
        <v>6</v>
      </c>
      <c r="B18" s="28" t="s">
        <v>32</v>
      </c>
      <c r="C18" s="27">
        <f t="shared" si="0"/>
        <v>6</v>
      </c>
      <c r="D18" s="27">
        <f t="shared" si="1"/>
        <v>1</v>
      </c>
      <c r="E18" s="83" t="str">
        <f t="shared" si="4"/>
        <v>Men's Pants</v>
      </c>
      <c r="F18" s="31">
        <v>32</v>
      </c>
      <c r="G18" s="31"/>
      <c r="H18" s="31"/>
      <c r="I18" s="31"/>
      <c r="J18" s="31"/>
      <c r="K18" s="31"/>
      <c r="L18" s="31"/>
      <c r="M18" s="31">
        <v>14</v>
      </c>
      <c r="N18" s="28">
        <f t="shared" si="2"/>
        <v>46</v>
      </c>
      <c r="O18" s="28">
        <v>46</v>
      </c>
      <c r="P18" s="99"/>
      <c r="Q18" s="99"/>
      <c r="R18" s="105"/>
      <c r="S18" s="35"/>
      <c r="T18" s="82">
        <f t="shared" si="3"/>
        <v>0.16200000000000001</v>
      </c>
      <c r="U18" s="94">
        <v>90</v>
      </c>
      <c r="V18" s="94">
        <v>60</v>
      </c>
      <c r="W18" s="94">
        <v>30</v>
      </c>
      <c r="X18" s="109" t="s">
        <v>309</v>
      </c>
    </row>
    <row r="19" spans="1:27" s="42" customFormat="1" ht="27.75" customHeight="1">
      <c r="A19" s="27">
        <f t="shared" si="5"/>
        <v>7</v>
      </c>
      <c r="B19" s="28" t="s">
        <v>32</v>
      </c>
      <c r="C19" s="27">
        <f t="shared" si="0"/>
        <v>7</v>
      </c>
      <c r="D19" s="27">
        <f t="shared" si="1"/>
        <v>1</v>
      </c>
      <c r="E19" s="83" t="str">
        <f t="shared" si="4"/>
        <v>Men's Pants</v>
      </c>
      <c r="F19" s="31">
        <v>30</v>
      </c>
      <c r="G19" s="31"/>
      <c r="H19" s="31"/>
      <c r="I19" s="31"/>
      <c r="J19" s="31"/>
      <c r="K19" s="31"/>
      <c r="L19" s="31"/>
      <c r="M19" s="31"/>
      <c r="N19" s="28">
        <f t="shared" si="2"/>
        <v>30</v>
      </c>
      <c r="O19" s="28">
        <v>30</v>
      </c>
      <c r="P19" s="99"/>
      <c r="Q19" s="99"/>
      <c r="R19" s="105"/>
      <c r="S19" s="35"/>
      <c r="T19" s="82">
        <f t="shared" si="3"/>
        <v>0.16200000000000001</v>
      </c>
      <c r="U19" s="94">
        <v>90</v>
      </c>
      <c r="V19" s="94">
        <v>60</v>
      </c>
      <c r="W19" s="94">
        <v>30</v>
      </c>
      <c r="X19" s="109" t="s">
        <v>309</v>
      </c>
    </row>
    <row r="20" spans="1:27" s="42" customFormat="1" ht="27.75" customHeight="1">
      <c r="A20" s="27">
        <f t="shared" si="5"/>
        <v>8</v>
      </c>
      <c r="B20" s="28" t="s">
        <v>32</v>
      </c>
      <c r="C20" s="27">
        <f t="shared" si="0"/>
        <v>9</v>
      </c>
      <c r="D20" s="27">
        <f t="shared" si="1"/>
        <v>2</v>
      </c>
      <c r="E20" s="83" t="str">
        <f t="shared" si="4"/>
        <v>Men's Pants</v>
      </c>
      <c r="F20" s="31"/>
      <c r="G20" s="31"/>
      <c r="H20" s="31"/>
      <c r="I20" s="31"/>
      <c r="J20" s="31"/>
      <c r="K20" s="31">
        <v>40</v>
      </c>
      <c r="L20" s="31"/>
      <c r="M20" s="31"/>
      <c r="N20" s="28">
        <f t="shared" si="2"/>
        <v>40</v>
      </c>
      <c r="O20" s="28">
        <v>80</v>
      </c>
      <c r="P20" s="99"/>
      <c r="Q20" s="99"/>
      <c r="R20" s="105"/>
      <c r="S20" s="35"/>
      <c r="T20" s="82">
        <f t="shared" si="3"/>
        <v>0.32400000000000001</v>
      </c>
      <c r="U20" s="94">
        <v>90</v>
      </c>
      <c r="V20" s="94">
        <v>60</v>
      </c>
      <c r="W20" s="94">
        <v>30</v>
      </c>
      <c r="X20" s="109" t="s">
        <v>309</v>
      </c>
    </row>
    <row r="21" spans="1:27" s="42" customFormat="1" ht="27.75" customHeight="1">
      <c r="A21" s="27">
        <f t="shared" si="5"/>
        <v>10</v>
      </c>
      <c r="B21" s="28" t="s">
        <v>32</v>
      </c>
      <c r="C21" s="27">
        <f t="shared" si="0"/>
        <v>10</v>
      </c>
      <c r="D21" s="27">
        <f t="shared" si="1"/>
        <v>1</v>
      </c>
      <c r="E21" s="83" t="str">
        <f t="shared" si="4"/>
        <v>Men's Pants</v>
      </c>
      <c r="F21" s="31"/>
      <c r="G21" s="31"/>
      <c r="H21" s="31"/>
      <c r="I21" s="31"/>
      <c r="J21" s="31"/>
      <c r="K21" s="31">
        <v>30</v>
      </c>
      <c r="L21" s="31"/>
      <c r="M21" s="31"/>
      <c r="N21" s="28">
        <f t="shared" si="2"/>
        <v>30</v>
      </c>
      <c r="O21" s="28">
        <v>30</v>
      </c>
      <c r="P21" s="99"/>
      <c r="Q21" s="99"/>
      <c r="R21" s="105"/>
      <c r="S21" s="35"/>
      <c r="T21" s="82">
        <f t="shared" si="3"/>
        <v>0.16200000000000001</v>
      </c>
      <c r="U21" s="94">
        <v>90</v>
      </c>
      <c r="V21" s="94">
        <v>60</v>
      </c>
      <c r="W21" s="94">
        <v>30</v>
      </c>
      <c r="X21" s="109" t="s">
        <v>309</v>
      </c>
    </row>
    <row r="22" spans="1:27" s="42" customFormat="1" ht="27.75" customHeight="1">
      <c r="A22" s="27">
        <f t="shared" ref="A22:A28" si="6">+C21+1</f>
        <v>11</v>
      </c>
      <c r="B22" s="28" t="s">
        <v>32</v>
      </c>
      <c r="C22" s="27">
        <f t="shared" si="0"/>
        <v>12</v>
      </c>
      <c r="D22" s="27">
        <f t="shared" si="1"/>
        <v>2</v>
      </c>
      <c r="E22" s="83" t="str">
        <f t="shared" si="4"/>
        <v>Men's Pants</v>
      </c>
      <c r="F22" s="31"/>
      <c r="G22" s="31"/>
      <c r="H22" s="31"/>
      <c r="I22" s="31">
        <v>40</v>
      </c>
      <c r="J22" s="31"/>
      <c r="K22" s="31"/>
      <c r="L22" s="31"/>
      <c r="M22" s="31"/>
      <c r="N22" s="28">
        <f t="shared" si="2"/>
        <v>40</v>
      </c>
      <c r="O22" s="28">
        <v>80</v>
      </c>
      <c r="P22" s="99"/>
      <c r="Q22" s="99"/>
      <c r="R22" s="105"/>
      <c r="S22" s="35"/>
      <c r="T22" s="82">
        <f t="shared" si="3"/>
        <v>0.32400000000000001</v>
      </c>
      <c r="U22" s="94">
        <v>90</v>
      </c>
      <c r="V22" s="94">
        <v>60</v>
      </c>
      <c r="W22" s="94">
        <v>30</v>
      </c>
      <c r="X22" s="109" t="s">
        <v>309</v>
      </c>
    </row>
    <row r="23" spans="1:27" s="42" customFormat="1" ht="27.75" customHeight="1">
      <c r="A23" s="27">
        <f t="shared" si="6"/>
        <v>13</v>
      </c>
      <c r="B23" s="28" t="s">
        <v>32</v>
      </c>
      <c r="C23" s="27">
        <f t="shared" ref="C23" si="7">+A23+D23-1</f>
        <v>13</v>
      </c>
      <c r="D23" s="27">
        <f t="shared" ref="D23" si="8">+O23/N23</f>
        <v>1</v>
      </c>
      <c r="E23" s="83" t="str">
        <f t="shared" si="4"/>
        <v>Men's Pants</v>
      </c>
      <c r="F23" s="31"/>
      <c r="G23" s="31"/>
      <c r="H23" s="31"/>
      <c r="I23" s="31"/>
      <c r="J23" s="31"/>
      <c r="K23" s="31">
        <v>39</v>
      </c>
      <c r="L23" s="31"/>
      <c r="M23" s="31"/>
      <c r="N23" s="28">
        <f t="shared" ref="N23" si="9">+SUM(F23:M23)</f>
        <v>39</v>
      </c>
      <c r="O23" s="28">
        <v>39</v>
      </c>
      <c r="P23" s="99"/>
      <c r="Q23" s="99"/>
      <c r="R23" s="105"/>
      <c r="S23" s="35"/>
      <c r="T23" s="82">
        <f t="shared" ref="T23" si="10">+ROUND(D23*U23*V23*W23/1000000,3)</f>
        <v>0.16200000000000001</v>
      </c>
      <c r="U23" s="94">
        <v>90</v>
      </c>
      <c r="V23" s="94">
        <v>60</v>
      </c>
      <c r="W23" s="94">
        <v>30</v>
      </c>
      <c r="X23" s="109" t="s">
        <v>309</v>
      </c>
    </row>
    <row r="24" spans="1:27" s="42" customFormat="1" ht="27.75" customHeight="1">
      <c r="A24" s="27">
        <f t="shared" si="6"/>
        <v>14</v>
      </c>
      <c r="B24" s="28" t="s">
        <v>32</v>
      </c>
      <c r="C24" s="27">
        <f t="shared" ref="C24:C26" si="11">+A24+D24-1</f>
        <v>14</v>
      </c>
      <c r="D24" s="27">
        <f t="shared" ref="D24:D26" si="12">+O24/N24</f>
        <v>1</v>
      </c>
      <c r="E24" s="83" t="str">
        <f t="shared" si="4"/>
        <v>Men's Pants</v>
      </c>
      <c r="F24" s="31"/>
      <c r="G24" s="31"/>
      <c r="H24" s="31">
        <v>10</v>
      </c>
      <c r="I24" s="31">
        <v>32</v>
      </c>
      <c r="J24" s="31"/>
      <c r="K24" s="31"/>
      <c r="L24" s="31"/>
      <c r="M24" s="31"/>
      <c r="N24" s="28">
        <f t="shared" ref="N24:N26" si="13">+SUM(F24:M24)</f>
        <v>42</v>
      </c>
      <c r="O24" s="28">
        <v>42</v>
      </c>
      <c r="P24" s="99"/>
      <c r="Q24" s="99"/>
      <c r="R24" s="105"/>
      <c r="S24" s="35"/>
      <c r="T24" s="82">
        <f t="shared" ref="T24:T26" si="14">+ROUND(D24*U24*V24*W24/1000000,3)</f>
        <v>0.16200000000000001</v>
      </c>
      <c r="U24" s="94">
        <v>90</v>
      </c>
      <c r="V24" s="94">
        <v>60</v>
      </c>
      <c r="W24" s="94">
        <v>30</v>
      </c>
      <c r="X24" s="109" t="s">
        <v>309</v>
      </c>
    </row>
    <row r="25" spans="1:27" s="42" customFormat="1" ht="27.75" customHeight="1">
      <c r="A25" s="27">
        <f t="shared" si="6"/>
        <v>15</v>
      </c>
      <c r="B25" s="28" t="s">
        <v>32</v>
      </c>
      <c r="C25" s="27">
        <f t="shared" si="11"/>
        <v>18</v>
      </c>
      <c r="D25" s="27">
        <f t="shared" si="12"/>
        <v>4</v>
      </c>
      <c r="E25" s="83" t="str">
        <f t="shared" si="4"/>
        <v>Men's Pants</v>
      </c>
      <c r="F25" s="31"/>
      <c r="G25" s="31">
        <v>40</v>
      </c>
      <c r="H25" s="31"/>
      <c r="I25" s="31"/>
      <c r="J25" s="31"/>
      <c r="K25" s="31"/>
      <c r="L25" s="31"/>
      <c r="M25" s="31"/>
      <c r="N25" s="28">
        <f t="shared" si="13"/>
        <v>40</v>
      </c>
      <c r="O25" s="28">
        <v>160</v>
      </c>
      <c r="P25" s="99"/>
      <c r="Q25" s="99"/>
      <c r="R25" s="105"/>
      <c r="S25" s="35"/>
      <c r="T25" s="82">
        <f t="shared" si="14"/>
        <v>0.64800000000000002</v>
      </c>
      <c r="U25" s="94">
        <v>90</v>
      </c>
      <c r="V25" s="94">
        <v>60</v>
      </c>
      <c r="W25" s="94">
        <v>30</v>
      </c>
      <c r="X25" s="109" t="s">
        <v>309</v>
      </c>
    </row>
    <row r="26" spans="1:27" s="42" customFormat="1" ht="27.75" customHeight="1">
      <c r="A26" s="27">
        <f t="shared" si="6"/>
        <v>19</v>
      </c>
      <c r="B26" s="28" t="s">
        <v>32</v>
      </c>
      <c r="C26" s="27">
        <f t="shared" si="11"/>
        <v>20</v>
      </c>
      <c r="D26" s="27">
        <f t="shared" si="12"/>
        <v>2</v>
      </c>
      <c r="E26" s="83" t="str">
        <f t="shared" si="4"/>
        <v>Men's Pants</v>
      </c>
      <c r="F26" s="31"/>
      <c r="G26" s="31">
        <v>30</v>
      </c>
      <c r="H26" s="31"/>
      <c r="I26" s="31"/>
      <c r="J26" s="31"/>
      <c r="K26" s="31"/>
      <c r="L26" s="31"/>
      <c r="M26" s="31"/>
      <c r="N26" s="28">
        <f t="shared" si="13"/>
        <v>30</v>
      </c>
      <c r="O26" s="28">
        <v>60</v>
      </c>
      <c r="P26" s="99"/>
      <c r="Q26" s="99"/>
      <c r="R26" s="105"/>
      <c r="S26" s="35"/>
      <c r="T26" s="82">
        <f t="shared" si="14"/>
        <v>0.32400000000000001</v>
      </c>
      <c r="U26" s="94">
        <v>90</v>
      </c>
      <c r="V26" s="94">
        <v>60</v>
      </c>
      <c r="W26" s="94">
        <v>30</v>
      </c>
      <c r="X26" s="109" t="s">
        <v>309</v>
      </c>
    </row>
    <row r="27" spans="1:27" s="42" customFormat="1" ht="27.75" customHeight="1">
      <c r="A27" s="27">
        <f t="shared" si="6"/>
        <v>21</v>
      </c>
      <c r="B27" s="28" t="s">
        <v>32</v>
      </c>
      <c r="C27" s="27">
        <f t="shared" ref="C27" si="15">+A27+D27-1</f>
        <v>24</v>
      </c>
      <c r="D27" s="27">
        <f t="shared" ref="D27" si="16">+O27/N27</f>
        <v>4</v>
      </c>
      <c r="E27" s="83" t="str">
        <f t="shared" si="4"/>
        <v>Men's Pants</v>
      </c>
      <c r="F27" s="31"/>
      <c r="G27" s="31"/>
      <c r="H27" s="31"/>
      <c r="I27" s="31"/>
      <c r="J27" s="31"/>
      <c r="K27" s="31"/>
      <c r="L27" s="31"/>
      <c r="M27" s="31">
        <v>30</v>
      </c>
      <c r="N27" s="28">
        <f t="shared" ref="N27" si="17">+SUM(F27:M27)</f>
        <v>30</v>
      </c>
      <c r="O27" s="28">
        <v>120</v>
      </c>
      <c r="P27" s="99"/>
      <c r="Q27" s="99"/>
      <c r="R27" s="105"/>
      <c r="S27" s="35"/>
      <c r="T27" s="82">
        <f t="shared" ref="T27" si="18">+ROUND(D27*U27*V27*W27/1000000,3)</f>
        <v>0.64800000000000002</v>
      </c>
      <c r="U27" s="94">
        <v>90</v>
      </c>
      <c r="V27" s="94">
        <v>60</v>
      </c>
      <c r="W27" s="94">
        <v>30</v>
      </c>
      <c r="X27" s="109" t="s">
        <v>309</v>
      </c>
    </row>
    <row r="28" spans="1:27" s="42" customFormat="1" ht="27.75" customHeight="1">
      <c r="A28" s="27">
        <f t="shared" si="6"/>
        <v>25</v>
      </c>
      <c r="B28" s="28" t="s">
        <v>32</v>
      </c>
      <c r="C28" s="27">
        <f t="shared" si="0"/>
        <v>25</v>
      </c>
      <c r="D28" s="27">
        <f t="shared" si="1"/>
        <v>1</v>
      </c>
      <c r="E28" s="83" t="str">
        <f t="shared" si="4"/>
        <v>Men's Pants</v>
      </c>
      <c r="F28" s="31">
        <v>1</v>
      </c>
      <c r="G28" s="31">
        <v>10</v>
      </c>
      <c r="H28" s="31"/>
      <c r="I28" s="31"/>
      <c r="J28" s="31">
        <v>1</v>
      </c>
      <c r="K28" s="31"/>
      <c r="L28" s="31">
        <v>1</v>
      </c>
      <c r="M28" s="31"/>
      <c r="N28" s="28">
        <f t="shared" si="2"/>
        <v>13</v>
      </c>
      <c r="O28" s="28">
        <v>13</v>
      </c>
      <c r="P28" s="99"/>
      <c r="Q28" s="99"/>
      <c r="R28" s="105"/>
      <c r="S28" s="35"/>
      <c r="T28" s="82">
        <f t="shared" si="3"/>
        <v>0.16200000000000001</v>
      </c>
      <c r="U28" s="94">
        <v>90</v>
      </c>
      <c r="V28" s="94">
        <v>60</v>
      </c>
      <c r="W28" s="94">
        <v>30</v>
      </c>
      <c r="X28" s="109" t="s">
        <v>309</v>
      </c>
    </row>
    <row r="29" spans="1:27" s="42" customFormat="1" ht="24" customHeight="1">
      <c r="A29" s="219" t="s">
        <v>33</v>
      </c>
      <c r="B29" s="220"/>
      <c r="C29" s="221"/>
      <c r="D29" s="44">
        <f>SUM(D16:D28)</f>
        <v>25</v>
      </c>
      <c r="E29" s="45"/>
      <c r="F29" s="47"/>
      <c r="G29" s="47"/>
      <c r="H29" s="47"/>
      <c r="I29" s="47"/>
      <c r="J29" s="47"/>
      <c r="K29" s="47"/>
      <c r="L29" s="47"/>
      <c r="M29" s="47"/>
      <c r="N29" s="48"/>
      <c r="O29" s="44">
        <f>SUM(O16:O28)</f>
        <v>880</v>
      </c>
      <c r="P29" s="49"/>
      <c r="Q29" s="49"/>
      <c r="R29" s="51">
        <f>SUM(R16:R28)</f>
        <v>0</v>
      </c>
      <c r="S29" s="51">
        <f t="shared" ref="S29:T29" si="19">SUM(S16:S28)</f>
        <v>0</v>
      </c>
      <c r="T29" s="51">
        <f t="shared" si="19"/>
        <v>4.0500000000000007</v>
      </c>
      <c r="U29" s="52"/>
      <c r="V29" s="3"/>
      <c r="W29" s="53"/>
      <c r="X29" s="8"/>
      <c r="AA29" s="110"/>
    </row>
    <row r="30" spans="1:27" s="42" customFormat="1" ht="12.75" customHeight="1">
      <c r="A30" s="54"/>
      <c r="B30" s="22"/>
      <c r="C30" s="22"/>
      <c r="D30" s="55"/>
      <c r="E30" s="55"/>
      <c r="F30" s="54"/>
      <c r="G30" s="54"/>
      <c r="H30" s="54"/>
      <c r="I30" s="54"/>
      <c r="J30" s="54"/>
      <c r="K30" s="54"/>
      <c r="L30" s="54"/>
      <c r="M30" s="54"/>
      <c r="N30" s="56"/>
      <c r="O30" s="57"/>
      <c r="P30" s="22"/>
      <c r="Q30" s="22"/>
      <c r="R30" s="57"/>
      <c r="S30" s="57"/>
      <c r="T30" s="58"/>
      <c r="U30" s="3"/>
      <c r="V30" s="3"/>
      <c r="W30" s="53"/>
      <c r="X30" s="8"/>
    </row>
    <row r="31" spans="1:27">
      <c r="S31" s="74"/>
    </row>
    <row r="34" spans="15:18">
      <c r="O34" s="75"/>
      <c r="P34" s="76"/>
      <c r="Q34" s="76"/>
      <c r="R34" s="76"/>
    </row>
    <row r="35" spans="15:18">
      <c r="O35" s="76"/>
      <c r="P35" s="76"/>
      <c r="Q35" s="76"/>
      <c r="R35" s="76"/>
    </row>
    <row r="36" spans="15:18">
      <c r="O36" s="76"/>
      <c r="P36" s="76"/>
      <c r="Q36" s="76"/>
      <c r="R36" s="76"/>
    </row>
    <row r="37" spans="15:18">
      <c r="O37" s="76"/>
      <c r="P37" s="76"/>
      <c r="Q37" s="76"/>
      <c r="R37" s="76"/>
    </row>
    <row r="38" spans="15:18">
      <c r="O38" s="76"/>
      <c r="P38" s="76"/>
      <c r="Q38" s="76"/>
      <c r="R38" s="76"/>
    </row>
    <row r="39" spans="15:18">
      <c r="P39" s="76"/>
      <c r="Q39" s="76"/>
      <c r="R39" s="76"/>
    </row>
  </sheetData>
  <autoFilter ref="A15:CY20">
    <filterColumn colId="0" showButton="0"/>
    <filterColumn colId="1" showButton="0"/>
  </autoFilter>
  <mergeCells count="25">
    <mergeCell ref="D10:E10"/>
    <mergeCell ref="A1:W1"/>
    <mergeCell ref="A2:W2"/>
    <mergeCell ref="A3:W3"/>
    <mergeCell ref="A4:W4"/>
    <mergeCell ref="A6:W6"/>
    <mergeCell ref="C12:D12"/>
    <mergeCell ref="A13:C15"/>
    <mergeCell ref="D13:D15"/>
    <mergeCell ref="E13:E15"/>
    <mergeCell ref="F13:M13"/>
    <mergeCell ref="L14:L15"/>
    <mergeCell ref="M14:M15"/>
    <mergeCell ref="A29:C29"/>
    <mergeCell ref="O13:O15"/>
    <mergeCell ref="T13:T15"/>
    <mergeCell ref="U13:W14"/>
    <mergeCell ref="X13:X15"/>
    <mergeCell ref="F14:F15"/>
    <mergeCell ref="G14:G15"/>
    <mergeCell ref="H14:H15"/>
    <mergeCell ref="I14:I15"/>
    <mergeCell ref="J14:J15"/>
    <mergeCell ref="K14:K15"/>
    <mergeCell ref="N13:N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8"/>
  <sheetViews>
    <sheetView tabSelected="1" zoomScale="80" zoomScaleNormal="80" zoomScaleSheetLayoutView="73" workbookViewId="0">
      <pane xSplit="5" ySplit="15" topLeftCell="F16" activePane="bottomRight" state="frozen"/>
      <selection activeCell="S21" sqref="S21"/>
      <selection pane="topRight" activeCell="S21" sqref="S21"/>
      <selection pane="bottomLeft" activeCell="S21" sqref="S21"/>
      <selection pane="bottomRight" activeCell="A6" sqref="A6:AB6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T18</f>
        <v>982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35</v>
      </c>
      <c r="D16" s="27">
        <f t="shared" ref="D16:D17" si="1">+T16/S16</f>
        <v>35</v>
      </c>
      <c r="E16" s="83" t="str">
        <f>+$D$7</f>
        <v>Men's Blazer</v>
      </c>
      <c r="F16" s="31"/>
      <c r="G16" s="31">
        <v>18</v>
      </c>
      <c r="H16" s="31"/>
      <c r="I16" s="31"/>
      <c r="J16" s="31"/>
      <c r="K16" s="30"/>
      <c r="L16" s="30"/>
      <c r="M16" s="30"/>
      <c r="N16" s="31"/>
      <c r="O16" s="31"/>
      <c r="P16" s="30"/>
      <c r="Q16" s="30"/>
      <c r="R16" s="30"/>
      <c r="S16" s="28">
        <f t="shared" ref="S16:S17" si="2">+SUM(F16:M16)</f>
        <v>18</v>
      </c>
      <c r="T16" s="28">
        <f>18*35</f>
        <v>630</v>
      </c>
      <c r="U16" s="99"/>
      <c r="V16" s="99"/>
      <c r="W16" s="105"/>
      <c r="X16" s="35"/>
      <c r="Y16" s="82">
        <f t="shared" ref="Y16:Y17" si="3">+ROUND(D16*Z16*AA16*AB16/1000000,3)</f>
        <v>5.67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36</v>
      </c>
      <c r="B17" s="28" t="s">
        <v>32</v>
      </c>
      <c r="C17" s="27">
        <f t="shared" si="0"/>
        <v>51</v>
      </c>
      <c r="D17" s="27">
        <f t="shared" si="1"/>
        <v>16</v>
      </c>
      <c r="E17" s="83" t="str">
        <f t="shared" ref="E17" si="4">+$D$7</f>
        <v>Men's Blazer</v>
      </c>
      <c r="F17" s="31"/>
      <c r="G17" s="31">
        <v>22</v>
      </c>
      <c r="H17" s="31"/>
      <c r="I17" s="31"/>
      <c r="J17" s="31"/>
      <c r="K17" s="30"/>
      <c r="L17" s="30"/>
      <c r="M17" s="30"/>
      <c r="N17" s="31"/>
      <c r="O17" s="31"/>
      <c r="P17" s="30"/>
      <c r="Q17" s="30"/>
      <c r="R17" s="30"/>
      <c r="S17" s="28">
        <f t="shared" si="2"/>
        <v>22</v>
      </c>
      <c r="T17" s="28">
        <f>22*16</f>
        <v>352</v>
      </c>
      <c r="U17" s="124"/>
      <c r="V17" s="124"/>
      <c r="W17" s="125"/>
      <c r="X17" s="126"/>
      <c r="Y17" s="82">
        <f t="shared" si="3"/>
        <v>2.5920000000000001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4" customHeight="1">
      <c r="A18" s="219" t="s">
        <v>33</v>
      </c>
      <c r="B18" s="220"/>
      <c r="C18" s="221"/>
      <c r="D18" s="44">
        <f>SUM(D16:D17)</f>
        <v>51</v>
      </c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44">
        <f>SUM(T16:T17)</f>
        <v>982</v>
      </c>
      <c r="U18" s="49"/>
      <c r="V18" s="49"/>
      <c r="W18" s="51">
        <f>SUM(W16:W17)</f>
        <v>0</v>
      </c>
      <c r="X18" s="51">
        <f>SUM(X16:X17)</f>
        <v>0</v>
      </c>
      <c r="Y18" s="51">
        <f>SUM(Y16:Y17)</f>
        <v>8.2620000000000005</v>
      </c>
      <c r="Z18" s="52"/>
      <c r="AA18" s="3"/>
      <c r="AB18" s="53"/>
      <c r="AC18" s="8"/>
      <c r="AF18" s="110"/>
    </row>
    <row r="19" spans="1:32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  <c r="T19" s="57"/>
      <c r="U19" s="22"/>
      <c r="V19" s="22"/>
      <c r="W19" s="57"/>
      <c r="X19" s="57"/>
      <c r="Y19" s="58"/>
      <c r="Z19" s="3"/>
      <c r="AA19" s="3"/>
      <c r="AB19" s="53"/>
      <c r="AC19" s="8"/>
    </row>
    <row r="20" spans="1:32">
      <c r="X20" s="74"/>
    </row>
    <row r="21" spans="1:32">
      <c r="T21" s="77">
        <f>T18+'Men Blazer size 34-36'!T19+'Men Blazer size 40'!T20+'Men Blazer size 42'!T20+'Men Blazer size 44'!T20+'Men Blazer size 46'!T20+'Men Blazer size 48'!T18+'Men Blazer size 50'!T18+'Men Blazer size 52'!T18+'Men Blazer size 54'!T18+'Men Blazer size 56-58-60-NO'!T21+'Men Blazer size 56-58-60-NO (2'!T31</f>
        <v>14619</v>
      </c>
    </row>
    <row r="23" spans="1:32">
      <c r="T23" s="75"/>
      <c r="U23" s="76"/>
      <c r="V23" s="76"/>
      <c r="W23" s="76"/>
    </row>
    <row r="24" spans="1:32">
      <c r="T24" s="76"/>
      <c r="U24" s="76"/>
      <c r="V24" s="76"/>
      <c r="W24" s="76"/>
    </row>
    <row r="25" spans="1:32">
      <c r="T25" s="76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U28" s="76"/>
      <c r="V28" s="76"/>
      <c r="W28" s="76"/>
    </row>
  </sheetData>
  <autoFilter ref="A15:DD17">
    <filterColumn colId="0" showButton="0"/>
    <filterColumn colId="1" showButton="0"/>
  </autoFilter>
  <mergeCells count="30">
    <mergeCell ref="A18:C18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9"/>
  <sheetViews>
    <sheetView zoomScale="80" zoomScaleNormal="80" zoomScaleSheetLayoutView="73" workbookViewId="0">
      <pane xSplit="5" ySplit="15" topLeftCell="F19" activePane="bottomRight" state="frozen"/>
      <selection activeCell="S21" sqref="S21"/>
      <selection pane="topRight" activeCell="S21" sqref="S21"/>
      <selection pane="bottomLeft" activeCell="S21" sqref="S21"/>
      <selection pane="bottomRight" activeCell="G32" sqref="G3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T19</f>
        <v>370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34</v>
      </c>
      <c r="G14" s="227">
        <v>36</v>
      </c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1</v>
      </c>
      <c r="D16" s="27">
        <f t="shared" ref="D16:D17" si="1">+T16/S16</f>
        <v>1</v>
      </c>
      <c r="E16" s="83" t="str">
        <f>+$D$7</f>
        <v>Men's Blazer</v>
      </c>
      <c r="F16" s="31">
        <v>22</v>
      </c>
      <c r="G16" s="31"/>
      <c r="H16" s="31"/>
      <c r="I16" s="31"/>
      <c r="J16" s="31"/>
      <c r="K16" s="31"/>
      <c r="L16" s="31"/>
      <c r="M16" s="30"/>
      <c r="N16" s="31"/>
      <c r="O16" s="31"/>
      <c r="P16" s="30"/>
      <c r="Q16" s="30"/>
      <c r="R16" s="30"/>
      <c r="S16" s="28">
        <f>+SUM(F16:R16)</f>
        <v>22</v>
      </c>
      <c r="T16" s="28">
        <f>22*1</f>
        <v>22</v>
      </c>
      <c r="U16" s="99"/>
      <c r="V16" s="99"/>
      <c r="W16" s="105"/>
      <c r="X16" s="35"/>
      <c r="Y16" s="82">
        <f t="shared" ref="Y16:Y17" si="2">+ROUND(D16*Z16*AA16*AB16/1000000,3)</f>
        <v>0.16200000000000001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2</v>
      </c>
      <c r="B17" s="28" t="s">
        <v>32</v>
      </c>
      <c r="C17" s="27">
        <f t="shared" si="0"/>
        <v>13</v>
      </c>
      <c r="D17" s="27">
        <f t="shared" si="1"/>
        <v>12</v>
      </c>
      <c r="E17" s="83" t="str">
        <f t="shared" ref="E17:E18" si="3">+$D$7</f>
        <v>Men's Blazer</v>
      </c>
      <c r="F17" s="31"/>
      <c r="G17" s="31">
        <v>18</v>
      </c>
      <c r="H17" s="31"/>
      <c r="I17" s="31"/>
      <c r="J17" s="31"/>
      <c r="K17" s="31"/>
      <c r="L17" s="31"/>
      <c r="M17" s="30"/>
      <c r="N17" s="31"/>
      <c r="O17" s="31"/>
      <c r="P17" s="30"/>
      <c r="Q17" s="30"/>
      <c r="R17" s="30"/>
      <c r="S17" s="28">
        <f t="shared" ref="S17" si="4">+SUM(F17:R17)</f>
        <v>18</v>
      </c>
      <c r="T17" s="28">
        <f>18*12</f>
        <v>216</v>
      </c>
      <c r="U17" s="124"/>
      <c r="V17" s="124"/>
      <c r="W17" s="125"/>
      <c r="X17" s="126"/>
      <c r="Y17" s="82">
        <f t="shared" si="2"/>
        <v>1.944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>+C17+1</f>
        <v>14</v>
      </c>
      <c r="B18" s="28" t="s">
        <v>32</v>
      </c>
      <c r="C18" s="27">
        <f t="shared" ref="C18" si="5">+A18+D18-1</f>
        <v>19</v>
      </c>
      <c r="D18" s="27">
        <f t="shared" ref="D18" si="6">+T18/S18</f>
        <v>6</v>
      </c>
      <c r="E18" s="83" t="str">
        <f t="shared" si="3"/>
        <v>Men's Blazer</v>
      </c>
      <c r="F18" s="31"/>
      <c r="G18" s="31">
        <v>22</v>
      </c>
      <c r="H18" s="31"/>
      <c r="I18" s="31"/>
      <c r="J18" s="31"/>
      <c r="K18" s="31"/>
      <c r="L18" s="31"/>
      <c r="M18" s="30"/>
      <c r="N18" s="31"/>
      <c r="O18" s="31"/>
      <c r="P18" s="30"/>
      <c r="Q18" s="30"/>
      <c r="R18" s="30"/>
      <c r="S18" s="28">
        <f t="shared" ref="S18" si="7">+SUM(F18:R18)</f>
        <v>22</v>
      </c>
      <c r="T18" s="28">
        <f>22*6</f>
        <v>132</v>
      </c>
      <c r="U18" s="124"/>
      <c r="V18" s="124"/>
      <c r="W18" s="125"/>
      <c r="X18" s="126"/>
      <c r="Y18" s="82">
        <f t="shared" ref="Y18" si="8">+ROUND(D18*Z18*AA18*AB18/1000000,3)</f>
        <v>0.97199999999999998</v>
      </c>
      <c r="Z18" s="94">
        <v>90</v>
      </c>
      <c r="AA18" s="94">
        <v>60</v>
      </c>
      <c r="AB18" s="94">
        <v>30</v>
      </c>
      <c r="AC18" s="109" t="s">
        <v>309</v>
      </c>
    </row>
    <row r="19" spans="1:32" s="42" customFormat="1" ht="24" customHeight="1">
      <c r="A19" s="219" t="s">
        <v>33</v>
      </c>
      <c r="B19" s="220"/>
      <c r="C19" s="221"/>
      <c r="D19" s="44">
        <f>SUM(D16:D18)</f>
        <v>19</v>
      </c>
      <c r="E19" s="45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44">
        <f>SUM(T16:T18)</f>
        <v>370</v>
      </c>
      <c r="U19" s="49"/>
      <c r="V19" s="49"/>
      <c r="W19" s="51">
        <f t="shared" ref="W19:Y19" si="9">SUM(W16:W18)</f>
        <v>0</v>
      </c>
      <c r="X19" s="51">
        <f t="shared" si="9"/>
        <v>0</v>
      </c>
      <c r="Y19" s="51">
        <f t="shared" si="9"/>
        <v>3.0779999999999998</v>
      </c>
      <c r="Z19" s="52"/>
      <c r="AA19" s="3"/>
      <c r="AB19" s="53"/>
      <c r="AC19" s="8"/>
      <c r="AF19" s="110"/>
    </row>
    <row r="20" spans="1:32" s="42" customFormat="1" ht="12.75" customHeight="1">
      <c r="A20" s="54"/>
      <c r="B20" s="22"/>
      <c r="C20" s="22"/>
      <c r="D20" s="55"/>
      <c r="E20" s="55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6"/>
      <c r="T20" s="57"/>
      <c r="U20" s="22"/>
      <c r="V20" s="22"/>
      <c r="W20" s="57"/>
      <c r="X20" s="57"/>
      <c r="Y20" s="58"/>
      <c r="Z20" s="3"/>
      <c r="AA20" s="3"/>
      <c r="AB20" s="53"/>
      <c r="AC20" s="8"/>
    </row>
    <row r="21" spans="1:32">
      <c r="X21" s="74"/>
    </row>
    <row r="23" spans="1:32">
      <c r="L23" s="77">
        <f>T19+'Men Blazer size 40'!T20+'Men Blazer size 42'!T20+'Men Blazer size 44'!T20+'Men Blazer size 46'!T20+'Men Blazer size 48'!T18+'Men Blazer size 50'!T18+'Men Blazer size 52'!T18+'Men Blazer size 54'!T18+'Men Blazer size 56-58-60-NO'!T21+'Men Blazer size 56-58-60-NO (2'!T31</f>
        <v>13637</v>
      </c>
      <c r="N23" s="77">
        <f>L23-10314</f>
        <v>3323</v>
      </c>
      <c r="O23" s="73">
        <v>982</v>
      </c>
    </row>
    <row r="24" spans="1:32">
      <c r="T24" s="75"/>
      <c r="U24" s="76"/>
      <c r="V24" s="76"/>
      <c r="W24" s="76"/>
    </row>
    <row r="25" spans="1:32">
      <c r="T25" s="76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T28" s="76"/>
      <c r="U28" s="76"/>
      <c r="V28" s="76"/>
      <c r="W28" s="76"/>
    </row>
    <row r="29" spans="1:32">
      <c r="U29" s="76"/>
      <c r="V29" s="76"/>
      <c r="W29" s="76"/>
    </row>
  </sheetData>
  <autoFilter ref="A15:DD17">
    <filterColumn colId="0" showButton="0"/>
    <filterColumn colId="1" showButton="0"/>
  </autoFilter>
  <mergeCells count="30">
    <mergeCell ref="A19:C19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0"/>
  <sheetViews>
    <sheetView zoomScale="80" zoomScaleNormal="80" zoomScaleSheetLayoutView="73" workbookViewId="0">
      <pane xSplit="5" ySplit="15" topLeftCell="F19" activePane="bottomRight" state="frozen"/>
      <selection activeCell="S21" sqref="S21"/>
      <selection pane="topRight" activeCell="S21" sqref="S21"/>
      <selection pane="bottomLeft" activeCell="S21" sqref="S21"/>
      <selection pane="bottomRight" activeCell="A2" sqref="A2:AB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T20</f>
        <v>2766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331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9" si="0">+A16+D16-1</f>
        <v>118</v>
      </c>
      <c r="D16" s="27">
        <f t="shared" ref="D16:D19" si="1">+T16/S16</f>
        <v>118</v>
      </c>
      <c r="E16" s="83" t="str">
        <f>+$D$7</f>
        <v>Men's Blazer</v>
      </c>
      <c r="F16" s="31"/>
      <c r="G16" s="31"/>
      <c r="H16" s="31">
        <v>18</v>
      </c>
      <c r="I16" s="31"/>
      <c r="J16" s="147"/>
      <c r="K16" s="30"/>
      <c r="L16" s="30"/>
      <c r="M16" s="30"/>
      <c r="N16" s="31"/>
      <c r="O16" s="31"/>
      <c r="P16" s="30"/>
      <c r="Q16" s="30"/>
      <c r="R16" s="30"/>
      <c r="S16" s="28">
        <f t="shared" ref="S16:S19" si="2">+SUM(F16:M16)</f>
        <v>18</v>
      </c>
      <c r="T16" s="28">
        <f>18*118</f>
        <v>2124</v>
      </c>
      <c r="U16" s="99"/>
      <c r="V16" s="99"/>
      <c r="W16" s="105"/>
      <c r="X16" s="35"/>
      <c r="Y16" s="82">
        <f t="shared" ref="Y16:Y19" si="3">+ROUND(D16*Z16*AA16*AB16/1000000,3)</f>
        <v>19.116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119</v>
      </c>
      <c r="B17" s="28" t="s">
        <v>32</v>
      </c>
      <c r="C17" s="27">
        <f t="shared" si="0"/>
        <v>124</v>
      </c>
      <c r="D17" s="27">
        <f t="shared" si="1"/>
        <v>6</v>
      </c>
      <c r="E17" s="83" t="str">
        <f t="shared" ref="E17:E19" si="4">+$D$7</f>
        <v>Men's Blazer</v>
      </c>
      <c r="F17" s="31"/>
      <c r="G17" s="31"/>
      <c r="H17" s="31">
        <v>20</v>
      </c>
      <c r="I17" s="31"/>
      <c r="J17" s="147"/>
      <c r="K17" s="30"/>
      <c r="L17" s="30"/>
      <c r="M17" s="30"/>
      <c r="N17" s="31"/>
      <c r="O17" s="31"/>
      <c r="P17" s="30"/>
      <c r="Q17" s="30"/>
      <c r="R17" s="30"/>
      <c r="S17" s="28">
        <f t="shared" si="2"/>
        <v>20</v>
      </c>
      <c r="T17" s="28">
        <f>20*6</f>
        <v>120</v>
      </c>
      <c r="U17" s="124"/>
      <c r="V17" s="124"/>
      <c r="W17" s="125"/>
      <c r="X17" s="126"/>
      <c r="Y17" s="82">
        <f t="shared" si="3"/>
        <v>0.97199999999999998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 t="shared" ref="A18:A19" si="5">+C17+1</f>
        <v>125</v>
      </c>
      <c r="B18" s="28" t="s">
        <v>32</v>
      </c>
      <c r="C18" s="27">
        <f t="shared" si="0"/>
        <v>147</v>
      </c>
      <c r="D18" s="27">
        <f t="shared" si="1"/>
        <v>23</v>
      </c>
      <c r="E18" s="83" t="str">
        <f t="shared" si="4"/>
        <v>Men's Blazer</v>
      </c>
      <c r="F18" s="31"/>
      <c r="G18" s="31"/>
      <c r="H18" s="31">
        <v>16</v>
      </c>
      <c r="I18" s="31"/>
      <c r="J18" s="147"/>
      <c r="K18" s="30"/>
      <c r="L18" s="30"/>
      <c r="M18" s="30"/>
      <c r="N18" s="31"/>
      <c r="O18" s="31"/>
      <c r="P18" s="30"/>
      <c r="Q18" s="30"/>
      <c r="R18" s="30"/>
      <c r="S18" s="28">
        <f t="shared" si="2"/>
        <v>16</v>
      </c>
      <c r="T18" s="28">
        <f>16*23</f>
        <v>368</v>
      </c>
      <c r="U18" s="99"/>
      <c r="V18" s="99"/>
      <c r="W18" s="105"/>
      <c r="X18" s="35"/>
      <c r="Y18" s="82">
        <f t="shared" si="3"/>
        <v>3.726</v>
      </c>
      <c r="Z18" s="94">
        <v>90</v>
      </c>
      <c r="AA18" s="94">
        <v>60</v>
      </c>
      <c r="AB18" s="94">
        <v>30</v>
      </c>
      <c r="AC18" s="109" t="s">
        <v>309</v>
      </c>
    </row>
    <row r="19" spans="1:32" s="42" customFormat="1" ht="27.75" customHeight="1">
      <c r="A19" s="27">
        <f t="shared" si="5"/>
        <v>148</v>
      </c>
      <c r="B19" s="28" t="s">
        <v>32</v>
      </c>
      <c r="C19" s="27">
        <f t="shared" si="0"/>
        <v>154</v>
      </c>
      <c r="D19" s="27">
        <f t="shared" si="1"/>
        <v>7</v>
      </c>
      <c r="E19" s="83" t="str">
        <f t="shared" si="4"/>
        <v>Men's Blazer</v>
      </c>
      <c r="F19" s="31"/>
      <c r="G19" s="31"/>
      <c r="H19" s="31">
        <v>22</v>
      </c>
      <c r="I19" s="31"/>
      <c r="J19" s="147"/>
      <c r="K19" s="30"/>
      <c r="L19" s="30"/>
      <c r="M19" s="30"/>
      <c r="N19" s="31"/>
      <c r="O19" s="31"/>
      <c r="P19" s="30"/>
      <c r="Q19" s="30"/>
      <c r="R19" s="30"/>
      <c r="S19" s="28">
        <f t="shared" si="2"/>
        <v>22</v>
      </c>
      <c r="T19" s="28">
        <f>22*7</f>
        <v>154</v>
      </c>
      <c r="U19" s="99"/>
      <c r="V19" s="99"/>
      <c r="W19" s="105"/>
      <c r="X19" s="35"/>
      <c r="Y19" s="82">
        <f t="shared" si="3"/>
        <v>1.1339999999999999</v>
      </c>
      <c r="Z19" s="94">
        <v>90</v>
      </c>
      <c r="AA19" s="94">
        <v>60</v>
      </c>
      <c r="AB19" s="94">
        <v>30</v>
      </c>
      <c r="AC19" s="109" t="s">
        <v>309</v>
      </c>
    </row>
    <row r="20" spans="1:32" s="42" customFormat="1" ht="24" customHeight="1">
      <c r="A20" s="219" t="s">
        <v>33</v>
      </c>
      <c r="B20" s="220"/>
      <c r="C20" s="221"/>
      <c r="D20" s="44">
        <f>SUM(D16:D19)</f>
        <v>154</v>
      </c>
      <c r="E20" s="45"/>
      <c r="F20" s="47"/>
      <c r="G20" s="47"/>
      <c r="H20" s="47"/>
      <c r="I20" s="47"/>
      <c r="J20" s="148"/>
      <c r="K20" s="47"/>
      <c r="L20" s="47"/>
      <c r="M20" s="47"/>
      <c r="N20" s="47"/>
      <c r="O20" s="47"/>
      <c r="P20" s="47"/>
      <c r="Q20" s="47"/>
      <c r="R20" s="47"/>
      <c r="S20" s="48"/>
      <c r="T20" s="44">
        <f>SUM(T16:T19)</f>
        <v>2766</v>
      </c>
      <c r="U20" s="49"/>
      <c r="V20" s="49"/>
      <c r="W20" s="51">
        <f>SUM(W16:W19)</f>
        <v>0</v>
      </c>
      <c r="X20" s="51">
        <f>SUM(X16:X19)</f>
        <v>0</v>
      </c>
      <c r="Y20" s="51">
        <f>SUM(Y16:Y19)</f>
        <v>24.948</v>
      </c>
      <c r="Z20" s="52"/>
      <c r="AA20" s="3"/>
      <c r="AB20" s="53"/>
      <c r="AC20" s="8"/>
      <c r="AF20" s="110"/>
    </row>
    <row r="21" spans="1:32" s="42" customFormat="1" ht="12.75" customHeight="1">
      <c r="A21" s="54"/>
      <c r="B21" s="22"/>
      <c r="C21" s="22"/>
      <c r="D21" s="55"/>
      <c r="E21" s="55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6"/>
      <c r="T21" s="57"/>
      <c r="U21" s="22"/>
      <c r="V21" s="22"/>
      <c r="W21" s="57"/>
      <c r="X21" s="57"/>
      <c r="Y21" s="58"/>
      <c r="Z21" s="3"/>
      <c r="AA21" s="3"/>
      <c r="AB21" s="53"/>
      <c r="AC21" s="8"/>
    </row>
    <row r="22" spans="1:32">
      <c r="X22" s="74"/>
    </row>
    <row r="25" spans="1:32">
      <c r="T25" s="75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T28" s="76"/>
      <c r="U28" s="76"/>
      <c r="V28" s="76"/>
      <c r="W28" s="76"/>
    </row>
    <row r="29" spans="1:32">
      <c r="T29" s="76"/>
      <c r="U29" s="76"/>
      <c r="V29" s="76"/>
      <c r="W29" s="76"/>
    </row>
    <row r="30" spans="1:32">
      <c r="U30" s="76"/>
      <c r="V30" s="76"/>
      <c r="W30" s="76"/>
    </row>
  </sheetData>
  <autoFilter ref="A15:DD19">
    <filterColumn colId="0" showButton="0"/>
    <filterColumn colId="1" showButton="0"/>
  </autoFilter>
  <mergeCells count="30">
    <mergeCell ref="A20:C20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0"/>
  <sheetViews>
    <sheetView zoomScale="80" zoomScaleNormal="80" zoomScaleSheetLayoutView="73" workbookViewId="0">
      <pane xSplit="5" ySplit="15" topLeftCell="F19" activePane="bottomRight" state="frozen"/>
      <selection activeCell="S21" sqref="S21"/>
      <selection pane="topRight" activeCell="S21" sqref="S21"/>
      <selection pane="bottomLeft" activeCell="S21" sqref="S21"/>
      <selection pane="bottomRight" activeCell="A2" sqref="A2:AB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T20</f>
        <v>2062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9" si="0">+A16+D16-1</f>
        <v>98</v>
      </c>
      <c r="D16" s="27">
        <f t="shared" ref="D16:D19" si="1">+T16/S16</f>
        <v>98</v>
      </c>
      <c r="E16" s="83" t="str">
        <f>+$D$7</f>
        <v>Men's Blazer</v>
      </c>
      <c r="F16" s="31"/>
      <c r="G16" s="31"/>
      <c r="H16" s="31"/>
      <c r="I16" s="31">
        <v>18</v>
      </c>
      <c r="J16" s="31"/>
      <c r="K16" s="30"/>
      <c r="L16" s="30"/>
      <c r="M16" s="30"/>
      <c r="N16" s="31"/>
      <c r="O16" s="31"/>
      <c r="P16" s="30"/>
      <c r="Q16" s="30"/>
      <c r="R16" s="30"/>
      <c r="S16" s="28">
        <f t="shared" ref="S16:S19" si="2">+SUM(F16:M16)</f>
        <v>18</v>
      </c>
      <c r="T16" s="28">
        <f>18*98</f>
        <v>1764</v>
      </c>
      <c r="U16" s="99"/>
      <c r="V16" s="99"/>
      <c r="W16" s="105"/>
      <c r="X16" s="35"/>
      <c r="Y16" s="82">
        <f t="shared" ref="Y16:Y19" si="3">+ROUND(D16*Z16*AA16*AB16/1000000,3)</f>
        <v>15.875999999999999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99</v>
      </c>
      <c r="B17" s="28" t="s">
        <v>32</v>
      </c>
      <c r="C17" s="27">
        <f t="shared" si="0"/>
        <v>110</v>
      </c>
      <c r="D17" s="27">
        <f t="shared" si="1"/>
        <v>12</v>
      </c>
      <c r="E17" s="83" t="str">
        <f t="shared" ref="E17:E19" si="4">+$D$7</f>
        <v>Men's Blazer</v>
      </c>
      <c r="F17" s="31"/>
      <c r="G17" s="31"/>
      <c r="H17" s="31"/>
      <c r="I17" s="31">
        <v>16</v>
      </c>
      <c r="J17" s="31"/>
      <c r="K17" s="30"/>
      <c r="L17" s="30"/>
      <c r="M17" s="30"/>
      <c r="N17" s="31"/>
      <c r="O17" s="31"/>
      <c r="P17" s="30"/>
      <c r="Q17" s="30"/>
      <c r="R17" s="30"/>
      <c r="S17" s="28">
        <f t="shared" si="2"/>
        <v>16</v>
      </c>
      <c r="T17" s="28">
        <f>16*12</f>
        <v>192</v>
      </c>
      <c r="U17" s="124"/>
      <c r="V17" s="124"/>
      <c r="W17" s="125"/>
      <c r="X17" s="126"/>
      <c r="Y17" s="82">
        <f t="shared" si="3"/>
        <v>1.944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 t="shared" ref="A18:A19" si="5">+C17+1</f>
        <v>111</v>
      </c>
      <c r="B18" s="28" t="s">
        <v>32</v>
      </c>
      <c r="C18" s="27">
        <f t="shared" si="0"/>
        <v>112</v>
      </c>
      <c r="D18" s="27">
        <f t="shared" si="1"/>
        <v>2</v>
      </c>
      <c r="E18" s="83" t="str">
        <f t="shared" si="4"/>
        <v>Men's Blazer</v>
      </c>
      <c r="F18" s="31"/>
      <c r="G18" s="31"/>
      <c r="H18" s="31"/>
      <c r="I18" s="31">
        <v>20</v>
      </c>
      <c r="J18" s="31"/>
      <c r="K18" s="30"/>
      <c r="L18" s="30"/>
      <c r="M18" s="30"/>
      <c r="N18" s="31"/>
      <c r="O18" s="31"/>
      <c r="P18" s="30"/>
      <c r="Q18" s="30"/>
      <c r="R18" s="30"/>
      <c r="S18" s="28">
        <f t="shared" si="2"/>
        <v>20</v>
      </c>
      <c r="T18" s="28">
        <f>20*2</f>
        <v>40</v>
      </c>
      <c r="U18" s="99"/>
      <c r="V18" s="99"/>
      <c r="W18" s="105"/>
      <c r="X18" s="35"/>
      <c r="Y18" s="82">
        <f t="shared" si="3"/>
        <v>0.32400000000000001</v>
      </c>
      <c r="Z18" s="94">
        <v>90</v>
      </c>
      <c r="AA18" s="94">
        <v>60</v>
      </c>
      <c r="AB18" s="94">
        <v>30</v>
      </c>
      <c r="AC18" s="109" t="s">
        <v>309</v>
      </c>
    </row>
    <row r="19" spans="1:32" s="42" customFormat="1" ht="27.75" customHeight="1">
      <c r="A19" s="27">
        <f t="shared" si="5"/>
        <v>113</v>
      </c>
      <c r="B19" s="28" t="s">
        <v>32</v>
      </c>
      <c r="C19" s="27">
        <f t="shared" si="0"/>
        <v>115</v>
      </c>
      <c r="D19" s="27">
        <f t="shared" si="1"/>
        <v>3</v>
      </c>
      <c r="E19" s="83" t="str">
        <f t="shared" si="4"/>
        <v>Men's Blazer</v>
      </c>
      <c r="F19" s="31"/>
      <c r="G19" s="31"/>
      <c r="H19" s="31"/>
      <c r="I19" s="31">
        <v>22</v>
      </c>
      <c r="J19" s="31"/>
      <c r="K19" s="30"/>
      <c r="L19" s="30"/>
      <c r="M19" s="30"/>
      <c r="N19" s="31"/>
      <c r="O19" s="31"/>
      <c r="P19" s="30"/>
      <c r="Q19" s="30"/>
      <c r="R19" s="30"/>
      <c r="S19" s="28">
        <f t="shared" si="2"/>
        <v>22</v>
      </c>
      <c r="T19" s="28">
        <f>22*3</f>
        <v>66</v>
      </c>
      <c r="U19" s="99"/>
      <c r="V19" s="99"/>
      <c r="W19" s="105"/>
      <c r="X19" s="35"/>
      <c r="Y19" s="82">
        <f t="shared" si="3"/>
        <v>0.48599999999999999</v>
      </c>
      <c r="Z19" s="94">
        <v>90</v>
      </c>
      <c r="AA19" s="94">
        <v>60</v>
      </c>
      <c r="AB19" s="94">
        <v>30</v>
      </c>
      <c r="AC19" s="109" t="s">
        <v>309</v>
      </c>
    </row>
    <row r="20" spans="1:32" s="42" customFormat="1" ht="24" customHeight="1">
      <c r="A20" s="219" t="s">
        <v>33</v>
      </c>
      <c r="B20" s="220"/>
      <c r="C20" s="221"/>
      <c r="D20" s="44">
        <f>SUM(D16:D19)</f>
        <v>115</v>
      </c>
      <c r="E20" s="4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44">
        <f>SUM(T16:T19)</f>
        <v>2062</v>
      </c>
      <c r="U20" s="49"/>
      <c r="V20" s="49"/>
      <c r="W20" s="51">
        <f>SUM(W16:W19)</f>
        <v>0</v>
      </c>
      <c r="X20" s="51">
        <f>SUM(X16:X19)</f>
        <v>0</v>
      </c>
      <c r="Y20" s="51">
        <f>SUM(Y16:Y19)</f>
        <v>18.630000000000003</v>
      </c>
      <c r="Z20" s="52"/>
      <c r="AA20" s="3"/>
      <c r="AB20" s="53"/>
      <c r="AC20" s="8"/>
      <c r="AF20" s="110"/>
    </row>
    <row r="21" spans="1:32" s="42" customFormat="1" ht="12.75" customHeight="1">
      <c r="A21" s="54"/>
      <c r="B21" s="22"/>
      <c r="C21" s="22"/>
      <c r="D21" s="55"/>
      <c r="E21" s="55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6"/>
      <c r="T21" s="57"/>
      <c r="U21" s="22"/>
      <c r="V21" s="22"/>
      <c r="W21" s="57"/>
      <c r="X21" s="57"/>
      <c r="Y21" s="58"/>
      <c r="Z21" s="3"/>
      <c r="AA21" s="3"/>
      <c r="AB21" s="53"/>
      <c r="AC21" s="8"/>
    </row>
    <row r="22" spans="1:32">
      <c r="X22" s="74"/>
    </row>
    <row r="25" spans="1:32">
      <c r="T25" s="75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T28" s="76"/>
      <c r="U28" s="76"/>
      <c r="V28" s="76"/>
      <c r="W28" s="76"/>
    </row>
    <row r="29" spans="1:32">
      <c r="T29" s="76"/>
      <c r="U29" s="76"/>
      <c r="V29" s="76"/>
      <c r="W29" s="76"/>
    </row>
    <row r="30" spans="1:32">
      <c r="U30" s="76"/>
      <c r="V30" s="76"/>
      <c r="W30" s="76"/>
    </row>
  </sheetData>
  <autoFilter ref="A15:DD19">
    <filterColumn colId="0" showButton="0"/>
    <filterColumn colId="1" showButton="0"/>
  </autoFilter>
  <mergeCells count="30">
    <mergeCell ref="A20:C20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0"/>
  <sheetViews>
    <sheetView zoomScale="80" zoomScaleNormal="80" zoomScaleSheetLayoutView="73" workbookViewId="0">
      <pane xSplit="5" ySplit="15" topLeftCell="F19" activePane="bottomRight" state="frozen"/>
      <selection activeCell="S21" sqref="S21"/>
      <selection pane="topRight" activeCell="S21" sqref="S21"/>
      <selection pane="bottomLeft" activeCell="S21" sqref="S21"/>
      <selection pane="bottomRight" sqref="A1:AB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T20</f>
        <v>2908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9" si="0">+A16+D16-1</f>
        <v>145</v>
      </c>
      <c r="D16" s="27">
        <f t="shared" ref="D16:D19" si="1">+T16/S16</f>
        <v>145</v>
      </c>
      <c r="E16" s="83" t="str">
        <f>+$D$7</f>
        <v>Men's Blazer</v>
      </c>
      <c r="F16" s="31"/>
      <c r="G16" s="31"/>
      <c r="H16" s="31"/>
      <c r="I16" s="31"/>
      <c r="J16" s="31">
        <v>18</v>
      </c>
      <c r="K16" s="30"/>
      <c r="L16" s="30"/>
      <c r="M16" s="30"/>
      <c r="N16" s="31"/>
      <c r="O16" s="31"/>
      <c r="P16" s="30"/>
      <c r="Q16" s="30"/>
      <c r="R16" s="30"/>
      <c r="S16" s="28">
        <f t="shared" ref="S16:S19" si="2">+SUM(F16:M16)</f>
        <v>18</v>
      </c>
      <c r="T16" s="28">
        <f>18*145</f>
        <v>2610</v>
      </c>
      <c r="U16" s="99"/>
      <c r="V16" s="99"/>
      <c r="W16" s="105"/>
      <c r="X16" s="35"/>
      <c r="Y16" s="82">
        <f t="shared" ref="Y16:Y19" si="3">+ROUND(D16*Z16*AA16*AB16/1000000,3)</f>
        <v>23.49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146</v>
      </c>
      <c r="B17" s="28" t="s">
        <v>32</v>
      </c>
      <c r="C17" s="27">
        <f t="shared" si="0"/>
        <v>147</v>
      </c>
      <c r="D17" s="27">
        <f t="shared" si="1"/>
        <v>2</v>
      </c>
      <c r="E17" s="83" t="str">
        <f t="shared" ref="E17:E19" si="4">+$D$7</f>
        <v>Men's Blazer</v>
      </c>
      <c r="F17" s="31"/>
      <c r="G17" s="31"/>
      <c r="H17" s="31"/>
      <c r="I17" s="31"/>
      <c r="J17" s="31">
        <v>20</v>
      </c>
      <c r="K17" s="30"/>
      <c r="L17" s="30"/>
      <c r="M17" s="30"/>
      <c r="N17" s="31"/>
      <c r="O17" s="31"/>
      <c r="P17" s="30"/>
      <c r="Q17" s="30"/>
      <c r="R17" s="30"/>
      <c r="S17" s="28">
        <f t="shared" si="2"/>
        <v>20</v>
      </c>
      <c r="T17" s="28">
        <f>20*2</f>
        <v>40</v>
      </c>
      <c r="U17" s="124"/>
      <c r="V17" s="124"/>
      <c r="W17" s="125"/>
      <c r="X17" s="126"/>
      <c r="Y17" s="82">
        <f t="shared" si="3"/>
        <v>0.32400000000000001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 t="shared" ref="A18:A19" si="5">+C17+1</f>
        <v>148</v>
      </c>
      <c r="B18" s="28" t="s">
        <v>32</v>
      </c>
      <c r="C18" s="27">
        <f t="shared" si="0"/>
        <v>159</v>
      </c>
      <c r="D18" s="27">
        <f t="shared" si="1"/>
        <v>12</v>
      </c>
      <c r="E18" s="83" t="str">
        <f t="shared" si="4"/>
        <v>Men's Blazer</v>
      </c>
      <c r="F18" s="31"/>
      <c r="G18" s="31"/>
      <c r="H18" s="31"/>
      <c r="I18" s="31"/>
      <c r="J18" s="31">
        <v>16</v>
      </c>
      <c r="K18" s="30"/>
      <c r="L18" s="30"/>
      <c r="M18" s="30"/>
      <c r="N18" s="31"/>
      <c r="O18" s="31"/>
      <c r="P18" s="30"/>
      <c r="Q18" s="30"/>
      <c r="R18" s="30"/>
      <c r="S18" s="28">
        <f t="shared" si="2"/>
        <v>16</v>
      </c>
      <c r="T18" s="28">
        <f>16*12</f>
        <v>192</v>
      </c>
      <c r="U18" s="99"/>
      <c r="V18" s="99"/>
      <c r="W18" s="105"/>
      <c r="X18" s="35"/>
      <c r="Y18" s="82">
        <f t="shared" si="3"/>
        <v>1.944</v>
      </c>
      <c r="Z18" s="94">
        <v>90</v>
      </c>
      <c r="AA18" s="94">
        <v>60</v>
      </c>
      <c r="AB18" s="94">
        <v>30</v>
      </c>
      <c r="AC18" s="109" t="s">
        <v>309</v>
      </c>
    </row>
    <row r="19" spans="1:32" s="42" customFormat="1" ht="27.75" customHeight="1">
      <c r="A19" s="27">
        <f t="shared" si="5"/>
        <v>160</v>
      </c>
      <c r="B19" s="28" t="s">
        <v>32</v>
      </c>
      <c r="C19" s="27">
        <f t="shared" si="0"/>
        <v>162</v>
      </c>
      <c r="D19" s="27">
        <f t="shared" si="1"/>
        <v>3</v>
      </c>
      <c r="E19" s="83" t="str">
        <f t="shared" si="4"/>
        <v>Men's Blazer</v>
      </c>
      <c r="F19" s="31"/>
      <c r="G19" s="31"/>
      <c r="H19" s="31"/>
      <c r="I19" s="31"/>
      <c r="J19" s="31">
        <v>22</v>
      </c>
      <c r="K19" s="30"/>
      <c r="L19" s="30"/>
      <c r="M19" s="30"/>
      <c r="N19" s="31"/>
      <c r="O19" s="31"/>
      <c r="P19" s="30"/>
      <c r="Q19" s="30"/>
      <c r="R19" s="30"/>
      <c r="S19" s="28">
        <f t="shared" si="2"/>
        <v>22</v>
      </c>
      <c r="T19" s="28">
        <f>22*3</f>
        <v>66</v>
      </c>
      <c r="U19" s="99"/>
      <c r="V19" s="99"/>
      <c r="W19" s="105"/>
      <c r="X19" s="35"/>
      <c r="Y19" s="82">
        <f t="shared" si="3"/>
        <v>0.48599999999999999</v>
      </c>
      <c r="Z19" s="94">
        <v>90</v>
      </c>
      <c r="AA19" s="94">
        <v>60</v>
      </c>
      <c r="AB19" s="94">
        <v>30</v>
      </c>
      <c r="AC19" s="109" t="s">
        <v>309</v>
      </c>
    </row>
    <row r="20" spans="1:32" s="42" customFormat="1" ht="24" customHeight="1">
      <c r="A20" s="219" t="s">
        <v>33</v>
      </c>
      <c r="B20" s="220"/>
      <c r="C20" s="221"/>
      <c r="D20" s="44">
        <f>SUM(D16:D19)</f>
        <v>162</v>
      </c>
      <c r="E20" s="4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44">
        <f>SUM(T16:T19)</f>
        <v>2908</v>
      </c>
      <c r="U20" s="49"/>
      <c r="V20" s="49"/>
      <c r="W20" s="51">
        <f>SUM(W16:W19)</f>
        <v>0</v>
      </c>
      <c r="X20" s="51">
        <f>SUM(X16:X19)</f>
        <v>0</v>
      </c>
      <c r="Y20" s="51">
        <f>SUM(Y16:Y19)</f>
        <v>26.244</v>
      </c>
      <c r="Z20" s="52"/>
      <c r="AA20" s="3"/>
      <c r="AB20" s="53"/>
      <c r="AC20" s="8"/>
      <c r="AF20" s="110"/>
    </row>
    <row r="21" spans="1:32" s="42" customFormat="1" ht="12.75" customHeight="1">
      <c r="A21" s="54"/>
      <c r="B21" s="22"/>
      <c r="C21" s="22"/>
      <c r="D21" s="55"/>
      <c r="E21" s="55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6"/>
      <c r="T21" s="57"/>
      <c r="U21" s="22"/>
      <c r="V21" s="22"/>
      <c r="W21" s="57"/>
      <c r="X21" s="57"/>
      <c r="Y21" s="58"/>
      <c r="Z21" s="3"/>
      <c r="AA21" s="3"/>
      <c r="AB21" s="53"/>
      <c r="AC21" s="8"/>
    </row>
    <row r="22" spans="1:32">
      <c r="X22" s="74"/>
    </row>
    <row r="25" spans="1:32">
      <c r="T25" s="75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T28" s="76"/>
      <c r="U28" s="76"/>
      <c r="V28" s="76"/>
      <c r="W28" s="76"/>
    </row>
    <row r="29" spans="1:32">
      <c r="T29" s="76"/>
      <c r="U29" s="76"/>
      <c r="V29" s="76"/>
      <c r="W29" s="76"/>
    </row>
    <row r="30" spans="1:32">
      <c r="U30" s="76"/>
      <c r="V30" s="76"/>
      <c r="W30" s="76"/>
    </row>
  </sheetData>
  <autoFilter ref="A15:DD19">
    <filterColumn colId="0" showButton="0"/>
    <filterColumn colId="1" showButton="0"/>
  </autoFilter>
  <mergeCells count="30">
    <mergeCell ref="T13:T15"/>
    <mergeCell ref="Y13:Y15"/>
    <mergeCell ref="Z13:AB14"/>
    <mergeCell ref="AC13:AC15"/>
    <mergeCell ref="A20:C20"/>
    <mergeCell ref="N14:N15"/>
    <mergeCell ref="O14:O15"/>
    <mergeCell ref="P14:P15"/>
    <mergeCell ref="Q14:Q15"/>
    <mergeCell ref="F14:F15"/>
    <mergeCell ref="G14:G15"/>
    <mergeCell ref="H14:H15"/>
    <mergeCell ref="I14:I15"/>
    <mergeCell ref="J14:J15"/>
    <mergeCell ref="K14:K15"/>
    <mergeCell ref="C12:D12"/>
    <mergeCell ref="A13:C15"/>
    <mergeCell ref="D13:D15"/>
    <mergeCell ref="E13:E15"/>
    <mergeCell ref="S13:S15"/>
    <mergeCell ref="L14:L15"/>
    <mergeCell ref="M14:M15"/>
    <mergeCell ref="F13:R13"/>
    <mergeCell ref="R14:R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8"/>
  <sheetViews>
    <sheetView zoomScale="80" zoomScaleNormal="80" zoomScaleSheetLayoutView="73" workbookViewId="0">
      <pane xSplit="5" ySplit="15" topLeftCell="F16" activePane="bottomRight" state="frozen"/>
      <selection activeCell="S21" sqref="S21"/>
      <selection pane="topRight" activeCell="S21" sqref="S21"/>
      <selection pane="bottomLeft" activeCell="S21" sqref="S21"/>
      <selection pane="bottomRight" sqref="A1:AB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T18</f>
        <v>922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39</v>
      </c>
      <c r="D16" s="27">
        <f t="shared" ref="D16:D17" si="1">+T16/S16</f>
        <v>39</v>
      </c>
      <c r="E16" s="83" t="str">
        <f>+$D$7</f>
        <v>Men's Blazer</v>
      </c>
      <c r="F16" s="31"/>
      <c r="G16" s="31"/>
      <c r="H16" s="31"/>
      <c r="I16" s="31"/>
      <c r="J16" s="31"/>
      <c r="K16" s="31"/>
      <c r="L16" s="31">
        <v>18</v>
      </c>
      <c r="M16" s="30"/>
      <c r="N16" s="31"/>
      <c r="O16" s="31"/>
      <c r="P16" s="30"/>
      <c r="Q16" s="30"/>
      <c r="R16" s="30"/>
      <c r="S16" s="28">
        <f t="shared" ref="S16:S17" si="2">+SUM(F16:M16)</f>
        <v>18</v>
      </c>
      <c r="T16" s="28">
        <f>18*39</f>
        <v>702</v>
      </c>
      <c r="U16" s="99"/>
      <c r="V16" s="99"/>
      <c r="W16" s="105"/>
      <c r="X16" s="35"/>
      <c r="Y16" s="82">
        <f t="shared" ref="Y16:Y17" si="3">+ROUND(D16*Z16*AA16*AB16/1000000,3)</f>
        <v>6.3179999999999996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40</v>
      </c>
      <c r="B17" s="28" t="s">
        <v>32</v>
      </c>
      <c r="C17" s="27">
        <f t="shared" si="0"/>
        <v>49</v>
      </c>
      <c r="D17" s="27">
        <f t="shared" si="1"/>
        <v>10</v>
      </c>
      <c r="E17" s="83" t="str">
        <f t="shared" ref="E17" si="4">+$D$7</f>
        <v>Men's Blazer</v>
      </c>
      <c r="F17" s="31"/>
      <c r="G17" s="31"/>
      <c r="H17" s="31"/>
      <c r="I17" s="31"/>
      <c r="J17" s="31"/>
      <c r="K17" s="31"/>
      <c r="L17" s="31">
        <v>22</v>
      </c>
      <c r="M17" s="30"/>
      <c r="N17" s="31"/>
      <c r="O17" s="31"/>
      <c r="P17" s="30"/>
      <c r="Q17" s="30"/>
      <c r="R17" s="30"/>
      <c r="S17" s="28">
        <f t="shared" si="2"/>
        <v>22</v>
      </c>
      <c r="T17" s="28">
        <f>22*10</f>
        <v>220</v>
      </c>
      <c r="U17" s="124"/>
      <c r="V17" s="124"/>
      <c r="W17" s="125"/>
      <c r="X17" s="126"/>
      <c r="Y17" s="82">
        <f t="shared" si="3"/>
        <v>1.62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4" customHeight="1">
      <c r="A18" s="219" t="s">
        <v>33</v>
      </c>
      <c r="B18" s="220"/>
      <c r="C18" s="221"/>
      <c r="D18" s="44">
        <f>SUM(D16:D17)</f>
        <v>49</v>
      </c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44">
        <f>SUM(T16:T17)</f>
        <v>922</v>
      </c>
      <c r="U18" s="49"/>
      <c r="V18" s="49"/>
      <c r="W18" s="51">
        <f>SUM(W16:W17)</f>
        <v>0</v>
      </c>
      <c r="X18" s="51">
        <f>SUM(X16:X17)</f>
        <v>0</v>
      </c>
      <c r="Y18" s="51">
        <f>SUM(Y16:Y17)</f>
        <v>7.9379999999999997</v>
      </c>
      <c r="Z18" s="52"/>
      <c r="AA18" s="3"/>
      <c r="AB18" s="53"/>
      <c r="AC18" s="8"/>
      <c r="AF18" s="110"/>
    </row>
    <row r="19" spans="1:32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  <c r="T19" s="57"/>
      <c r="U19" s="22"/>
      <c r="V19" s="22"/>
      <c r="W19" s="57"/>
      <c r="X19" s="57"/>
      <c r="Y19" s="58"/>
      <c r="Z19" s="3"/>
      <c r="AA19" s="3"/>
      <c r="AB19" s="53"/>
      <c r="AC19" s="8"/>
    </row>
    <row r="20" spans="1:32">
      <c r="X20" s="74"/>
    </row>
    <row r="23" spans="1:32">
      <c r="T23" s="75"/>
      <c r="U23" s="76"/>
      <c r="V23" s="76"/>
      <c r="W23" s="76"/>
    </row>
    <row r="24" spans="1:32">
      <c r="T24" s="76"/>
      <c r="U24" s="76"/>
      <c r="V24" s="76"/>
      <c r="W24" s="76"/>
    </row>
    <row r="25" spans="1:32">
      <c r="T25" s="76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U28" s="76"/>
      <c r="V28" s="76"/>
      <c r="W28" s="76"/>
    </row>
  </sheetData>
  <autoFilter ref="A15:DD17">
    <filterColumn colId="0" showButton="0"/>
    <filterColumn colId="1" showButton="0"/>
  </autoFilter>
  <mergeCells count="30">
    <mergeCell ref="A18:C18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0"/>
  <sheetViews>
    <sheetView zoomScale="80" zoomScaleNormal="80" zoomScaleSheetLayoutView="73" workbookViewId="0">
      <pane xSplit="5" ySplit="15" topLeftCell="F17" activePane="bottomRight" state="frozen"/>
      <selection activeCell="S21" sqref="S21"/>
      <selection pane="topRight" activeCell="S21" sqref="S21"/>
      <selection pane="bottomLeft" activeCell="S21" sqref="S21"/>
      <selection pane="bottomRight" sqref="A1:AB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T20</f>
        <v>1428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9" si="0">+A16+D16-1</f>
        <v>64</v>
      </c>
      <c r="D16" s="27">
        <f t="shared" ref="D16:D19" si="1">+T16/S16</f>
        <v>64</v>
      </c>
      <c r="E16" s="83" t="str">
        <f>+$D$7</f>
        <v>Men's Blazer</v>
      </c>
      <c r="F16" s="31"/>
      <c r="G16" s="31"/>
      <c r="H16" s="31"/>
      <c r="I16" s="31"/>
      <c r="J16" s="31"/>
      <c r="K16" s="31">
        <v>18</v>
      </c>
      <c r="L16" s="30"/>
      <c r="M16" s="30"/>
      <c r="N16" s="31"/>
      <c r="O16" s="31"/>
      <c r="P16" s="30"/>
      <c r="Q16" s="30"/>
      <c r="R16" s="30"/>
      <c r="S16" s="28">
        <f t="shared" ref="S16:S19" si="2">+SUM(F16:M16)</f>
        <v>18</v>
      </c>
      <c r="T16" s="28">
        <f>18*64</f>
        <v>1152</v>
      </c>
      <c r="U16" s="99"/>
      <c r="V16" s="99"/>
      <c r="W16" s="105"/>
      <c r="X16" s="35"/>
      <c r="Y16" s="82">
        <f t="shared" ref="Y16:Y19" si="3">+ROUND(D16*Z16*AA16*AB16/1000000,3)</f>
        <v>10.368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65</v>
      </c>
      <c r="B17" s="28" t="s">
        <v>32</v>
      </c>
      <c r="C17" s="27">
        <f t="shared" si="0"/>
        <v>65</v>
      </c>
      <c r="D17" s="27">
        <f t="shared" si="1"/>
        <v>1</v>
      </c>
      <c r="E17" s="83" t="str">
        <f t="shared" ref="E17:E19" si="4">+$D$7</f>
        <v>Men's Blazer</v>
      </c>
      <c r="F17" s="31"/>
      <c r="G17" s="31"/>
      <c r="H17" s="31"/>
      <c r="I17" s="31"/>
      <c r="J17" s="31"/>
      <c r="K17" s="31">
        <v>20</v>
      </c>
      <c r="L17" s="30"/>
      <c r="M17" s="30"/>
      <c r="N17" s="31"/>
      <c r="O17" s="31"/>
      <c r="P17" s="30"/>
      <c r="Q17" s="30"/>
      <c r="R17" s="30"/>
      <c r="S17" s="28">
        <f t="shared" si="2"/>
        <v>20</v>
      </c>
      <c r="T17" s="28">
        <f>20*1</f>
        <v>20</v>
      </c>
      <c r="U17" s="124"/>
      <c r="V17" s="124"/>
      <c r="W17" s="125"/>
      <c r="X17" s="126"/>
      <c r="Y17" s="82">
        <f t="shared" si="3"/>
        <v>0.16200000000000001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 t="shared" ref="A18:A19" si="5">+C17+1</f>
        <v>66</v>
      </c>
      <c r="B18" s="28" t="s">
        <v>32</v>
      </c>
      <c r="C18" s="27">
        <f t="shared" si="0"/>
        <v>73</v>
      </c>
      <c r="D18" s="27">
        <f t="shared" si="1"/>
        <v>8</v>
      </c>
      <c r="E18" s="83" t="str">
        <f t="shared" si="4"/>
        <v>Men's Blazer</v>
      </c>
      <c r="F18" s="31"/>
      <c r="G18" s="31"/>
      <c r="H18" s="31"/>
      <c r="I18" s="31"/>
      <c r="J18" s="31"/>
      <c r="K18" s="31">
        <v>22</v>
      </c>
      <c r="L18" s="30"/>
      <c r="M18" s="30"/>
      <c r="N18" s="31"/>
      <c r="O18" s="31"/>
      <c r="P18" s="30"/>
      <c r="Q18" s="30"/>
      <c r="R18" s="30"/>
      <c r="S18" s="28">
        <f t="shared" si="2"/>
        <v>22</v>
      </c>
      <c r="T18" s="28">
        <f>22*8</f>
        <v>176</v>
      </c>
      <c r="U18" s="99"/>
      <c r="V18" s="99"/>
      <c r="W18" s="105"/>
      <c r="X18" s="35"/>
      <c r="Y18" s="82">
        <f t="shared" si="3"/>
        <v>1.296</v>
      </c>
      <c r="Z18" s="94">
        <v>90</v>
      </c>
      <c r="AA18" s="94">
        <v>60</v>
      </c>
      <c r="AB18" s="94">
        <v>30</v>
      </c>
      <c r="AC18" s="109" t="s">
        <v>309</v>
      </c>
    </row>
    <row r="19" spans="1:32" s="42" customFormat="1" ht="27.75" customHeight="1">
      <c r="A19" s="27">
        <f t="shared" si="5"/>
        <v>74</v>
      </c>
      <c r="B19" s="28" t="s">
        <v>32</v>
      </c>
      <c r="C19" s="27">
        <f t="shared" si="0"/>
        <v>78</v>
      </c>
      <c r="D19" s="27">
        <f t="shared" si="1"/>
        <v>5</v>
      </c>
      <c r="E19" s="83" t="str">
        <f t="shared" si="4"/>
        <v>Men's Blazer</v>
      </c>
      <c r="F19" s="31"/>
      <c r="G19" s="31"/>
      <c r="H19" s="31"/>
      <c r="I19" s="31"/>
      <c r="J19" s="31"/>
      <c r="K19" s="31">
        <v>16</v>
      </c>
      <c r="L19" s="30"/>
      <c r="M19" s="30"/>
      <c r="N19" s="31"/>
      <c r="O19" s="31"/>
      <c r="P19" s="30"/>
      <c r="Q19" s="30"/>
      <c r="R19" s="30"/>
      <c r="S19" s="28">
        <f t="shared" si="2"/>
        <v>16</v>
      </c>
      <c r="T19" s="28">
        <f>16*5</f>
        <v>80</v>
      </c>
      <c r="U19" s="99"/>
      <c r="V19" s="99"/>
      <c r="W19" s="105"/>
      <c r="X19" s="35"/>
      <c r="Y19" s="82">
        <f t="shared" si="3"/>
        <v>0.81</v>
      </c>
      <c r="Z19" s="94">
        <v>90</v>
      </c>
      <c r="AA19" s="94">
        <v>60</v>
      </c>
      <c r="AB19" s="94">
        <v>30</v>
      </c>
      <c r="AC19" s="109" t="s">
        <v>309</v>
      </c>
    </row>
    <row r="20" spans="1:32" s="42" customFormat="1" ht="24" customHeight="1">
      <c r="A20" s="219" t="s">
        <v>33</v>
      </c>
      <c r="B20" s="220"/>
      <c r="C20" s="221"/>
      <c r="D20" s="44">
        <f>SUM(D16:D19)</f>
        <v>78</v>
      </c>
      <c r="E20" s="4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44">
        <f>SUM(T16:T19)</f>
        <v>1428</v>
      </c>
      <c r="U20" s="49"/>
      <c r="V20" s="49"/>
      <c r="W20" s="51">
        <f>SUM(W16:W19)</f>
        <v>0</v>
      </c>
      <c r="X20" s="51">
        <f>SUM(X16:X19)</f>
        <v>0</v>
      </c>
      <c r="Y20" s="51">
        <f>SUM(Y16:Y19)</f>
        <v>12.636000000000001</v>
      </c>
      <c r="Z20" s="52"/>
      <c r="AA20" s="3"/>
      <c r="AB20" s="53"/>
      <c r="AC20" s="8"/>
      <c r="AF20" s="110"/>
    </row>
    <row r="21" spans="1:32" s="42" customFormat="1" ht="12.75" customHeight="1">
      <c r="A21" s="54"/>
      <c r="B21" s="22"/>
      <c r="C21" s="22"/>
      <c r="D21" s="55"/>
      <c r="E21" s="55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6"/>
      <c r="T21" s="57"/>
      <c r="U21" s="22"/>
      <c r="V21" s="22"/>
      <c r="W21" s="57"/>
      <c r="X21" s="57"/>
      <c r="Y21" s="58"/>
      <c r="Z21" s="3"/>
      <c r="AA21" s="3"/>
      <c r="AB21" s="53"/>
      <c r="AC21" s="8"/>
    </row>
    <row r="22" spans="1:32">
      <c r="X22" s="74"/>
    </row>
    <row r="25" spans="1:32">
      <c r="T25" s="75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T28" s="76"/>
      <c r="U28" s="76"/>
      <c r="V28" s="76"/>
      <c r="W28" s="76"/>
    </row>
    <row r="29" spans="1:32">
      <c r="T29" s="76"/>
      <c r="U29" s="76"/>
      <c r="V29" s="76"/>
      <c r="W29" s="76"/>
    </row>
    <row r="30" spans="1:32">
      <c r="U30" s="76"/>
      <c r="V30" s="76"/>
      <c r="W30" s="76"/>
    </row>
  </sheetData>
  <autoFilter ref="A15:DD19">
    <filterColumn colId="0" showButton="0"/>
    <filterColumn colId="1" showButton="0"/>
  </autoFilter>
  <mergeCells count="30">
    <mergeCell ref="A20:C20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8"/>
  <sheetViews>
    <sheetView zoomScale="80" zoomScaleNormal="80" zoomScaleSheetLayoutView="73" workbookViewId="0">
      <pane xSplit="5" ySplit="15" topLeftCell="M16" activePane="bottomRight" state="frozen"/>
      <selection activeCell="S21" sqref="S21"/>
      <selection pane="topRight" activeCell="S21" sqref="S21"/>
      <selection pane="bottomLeft" activeCell="S21" sqref="S21"/>
      <selection pane="bottomRight" activeCell="A2" sqref="A2:AB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T18</f>
        <v>654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29</v>
      </c>
      <c r="D16" s="27">
        <f t="shared" ref="D16:D17" si="1">+T16/S16</f>
        <v>29</v>
      </c>
      <c r="E16" s="83" t="str">
        <f>+$D$7</f>
        <v>Men's Blazer</v>
      </c>
      <c r="F16" s="31"/>
      <c r="G16" s="31"/>
      <c r="H16" s="31"/>
      <c r="I16" s="31"/>
      <c r="J16" s="31"/>
      <c r="K16" s="31"/>
      <c r="L16" s="31"/>
      <c r="M16" s="31">
        <v>18</v>
      </c>
      <c r="N16" s="31"/>
      <c r="O16" s="31"/>
      <c r="P16" s="30"/>
      <c r="Q16" s="30"/>
      <c r="R16" s="30"/>
      <c r="S16" s="28">
        <f t="shared" ref="S16:S17" si="2">+SUM(F16:M16)</f>
        <v>18</v>
      </c>
      <c r="T16" s="28">
        <f>18*29</f>
        <v>522</v>
      </c>
      <c r="U16" s="99"/>
      <c r="V16" s="99"/>
      <c r="W16" s="105"/>
      <c r="X16" s="35"/>
      <c r="Y16" s="82">
        <f t="shared" ref="Y16:Y17" si="3">+ROUND(D16*Z16*AA16*AB16/1000000,3)</f>
        <v>4.6980000000000004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30</v>
      </c>
      <c r="B17" s="28" t="s">
        <v>32</v>
      </c>
      <c r="C17" s="27">
        <f t="shared" si="0"/>
        <v>35</v>
      </c>
      <c r="D17" s="27">
        <f t="shared" si="1"/>
        <v>6</v>
      </c>
      <c r="E17" s="83" t="str">
        <f t="shared" ref="E17" si="4">+$D$7</f>
        <v>Men's Blazer</v>
      </c>
      <c r="F17" s="31"/>
      <c r="G17" s="31"/>
      <c r="H17" s="31"/>
      <c r="I17" s="31"/>
      <c r="J17" s="31"/>
      <c r="K17" s="31"/>
      <c r="L17" s="31"/>
      <c r="M17" s="31">
        <v>22</v>
      </c>
      <c r="N17" s="31"/>
      <c r="O17" s="31"/>
      <c r="P17" s="30"/>
      <c r="Q17" s="30"/>
      <c r="R17" s="30"/>
      <c r="S17" s="28">
        <f t="shared" si="2"/>
        <v>22</v>
      </c>
      <c r="T17" s="28">
        <f>22*6</f>
        <v>132</v>
      </c>
      <c r="U17" s="124"/>
      <c r="V17" s="124"/>
      <c r="W17" s="125"/>
      <c r="X17" s="126"/>
      <c r="Y17" s="82">
        <f t="shared" si="3"/>
        <v>0.97199999999999998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4" customHeight="1">
      <c r="A18" s="219" t="s">
        <v>33</v>
      </c>
      <c r="B18" s="220"/>
      <c r="C18" s="221"/>
      <c r="D18" s="44">
        <f>SUM(D16:D17)</f>
        <v>35</v>
      </c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44">
        <f>SUM(T16:T17)</f>
        <v>654</v>
      </c>
      <c r="U18" s="49"/>
      <c r="V18" s="49"/>
      <c r="W18" s="51">
        <f>SUM(W16:W17)</f>
        <v>0</v>
      </c>
      <c r="X18" s="51">
        <f>SUM(X16:X17)</f>
        <v>0</v>
      </c>
      <c r="Y18" s="51">
        <f>SUM(Y16:Y17)</f>
        <v>5.67</v>
      </c>
      <c r="Z18" s="52"/>
      <c r="AA18" s="3"/>
      <c r="AB18" s="53"/>
      <c r="AC18" s="8"/>
      <c r="AF18" s="110"/>
    </row>
    <row r="19" spans="1:32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  <c r="T19" s="57"/>
      <c r="U19" s="22"/>
      <c r="V19" s="22"/>
      <c r="W19" s="57"/>
      <c r="X19" s="57"/>
      <c r="Y19" s="58"/>
      <c r="Z19" s="3"/>
      <c r="AA19" s="3"/>
      <c r="AB19" s="53"/>
      <c r="AC19" s="8"/>
    </row>
    <row r="20" spans="1:32">
      <c r="X20" s="74"/>
    </row>
    <row r="23" spans="1:32">
      <c r="T23" s="75"/>
      <c r="U23" s="76"/>
      <c r="V23" s="76"/>
      <c r="W23" s="76"/>
    </row>
    <row r="24" spans="1:32">
      <c r="T24" s="76"/>
      <c r="U24" s="76"/>
      <c r="V24" s="76"/>
      <c r="W24" s="76"/>
    </row>
    <row r="25" spans="1:32">
      <c r="T25" s="76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U28" s="76"/>
      <c r="V28" s="76"/>
      <c r="W28" s="76"/>
    </row>
  </sheetData>
  <autoFilter ref="A15:DD17">
    <filterColumn colId="0" showButton="0"/>
    <filterColumn colId="1" showButton="0"/>
  </autoFilter>
  <mergeCells count="30">
    <mergeCell ref="A18:C18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8"/>
  <sheetViews>
    <sheetView zoomScale="80" zoomScaleNormal="80" zoomScaleSheetLayoutView="73" workbookViewId="0">
      <pane xSplit="5" ySplit="15" topLeftCell="F16" activePane="bottomRight" state="frozen"/>
      <selection activeCell="S21" sqref="S21"/>
      <selection pane="topRight" activeCell="S21" sqref="S21"/>
      <selection pane="bottomLeft" activeCell="S21" sqref="S21"/>
      <selection pane="bottomRight" sqref="A1:AB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T18</f>
        <v>386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19</v>
      </c>
      <c r="D16" s="27">
        <f t="shared" ref="D16:D17" si="1">+T16/S16</f>
        <v>19</v>
      </c>
      <c r="E16" s="83" t="str">
        <f>+$D$7</f>
        <v>Men's Blazer</v>
      </c>
      <c r="F16" s="31"/>
      <c r="G16" s="31"/>
      <c r="H16" s="31"/>
      <c r="I16" s="31"/>
      <c r="J16" s="31"/>
      <c r="K16" s="31"/>
      <c r="L16" s="31"/>
      <c r="M16" s="30"/>
      <c r="N16" s="31">
        <v>18</v>
      </c>
      <c r="O16" s="31"/>
      <c r="P16" s="30"/>
      <c r="Q16" s="30"/>
      <c r="R16" s="30"/>
      <c r="S16" s="28">
        <f>+SUM(F16:R16)</f>
        <v>18</v>
      </c>
      <c r="T16" s="28">
        <f>18*19</f>
        <v>342</v>
      </c>
      <c r="U16" s="99"/>
      <c r="V16" s="99"/>
      <c r="W16" s="105"/>
      <c r="X16" s="35"/>
      <c r="Y16" s="82">
        <f t="shared" ref="Y16:Y17" si="2">+ROUND(D16*Z16*AA16*AB16/1000000,3)</f>
        <v>3.0779999999999998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20</v>
      </c>
      <c r="B17" s="28" t="s">
        <v>32</v>
      </c>
      <c r="C17" s="27">
        <f t="shared" si="0"/>
        <v>21</v>
      </c>
      <c r="D17" s="27">
        <f t="shared" si="1"/>
        <v>2</v>
      </c>
      <c r="E17" s="83" t="str">
        <f t="shared" ref="E17" si="3">+$D$7</f>
        <v>Men's Blazer</v>
      </c>
      <c r="F17" s="31"/>
      <c r="G17" s="31"/>
      <c r="H17" s="31"/>
      <c r="I17" s="31"/>
      <c r="J17" s="31"/>
      <c r="K17" s="31"/>
      <c r="L17" s="31"/>
      <c r="M17" s="30"/>
      <c r="N17" s="31">
        <v>22</v>
      </c>
      <c r="O17" s="31"/>
      <c r="P17" s="30"/>
      <c r="Q17" s="30"/>
      <c r="R17" s="30"/>
      <c r="S17" s="28">
        <f t="shared" ref="S17" si="4">+SUM(F17:R17)</f>
        <v>22</v>
      </c>
      <c r="T17" s="28">
        <f>22*2</f>
        <v>44</v>
      </c>
      <c r="U17" s="124"/>
      <c r="V17" s="124"/>
      <c r="W17" s="125"/>
      <c r="X17" s="126"/>
      <c r="Y17" s="82">
        <f t="shared" si="2"/>
        <v>0.32400000000000001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4" customHeight="1">
      <c r="A18" s="219" t="s">
        <v>33</v>
      </c>
      <c r="B18" s="220"/>
      <c r="C18" s="221"/>
      <c r="D18" s="44">
        <f>SUM(D16:D17)</f>
        <v>21</v>
      </c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44">
        <f>SUM(T16:T17)</f>
        <v>386</v>
      </c>
      <c r="U18" s="49"/>
      <c r="V18" s="49"/>
      <c r="W18" s="51">
        <f>SUM(W16:W17)</f>
        <v>0</v>
      </c>
      <c r="X18" s="51">
        <f>SUM(X16:X17)</f>
        <v>0</v>
      </c>
      <c r="Y18" s="51">
        <f>SUM(Y16:Y17)</f>
        <v>3.4019999999999997</v>
      </c>
      <c r="Z18" s="52"/>
      <c r="AA18" s="3"/>
      <c r="AB18" s="53"/>
      <c r="AC18" s="8"/>
      <c r="AF18" s="110"/>
    </row>
    <row r="19" spans="1:32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  <c r="T19" s="57"/>
      <c r="U19" s="22"/>
      <c r="V19" s="22"/>
      <c r="W19" s="57"/>
      <c r="X19" s="57"/>
      <c r="Y19" s="58"/>
      <c r="Z19" s="3"/>
      <c r="AA19" s="3"/>
      <c r="AB19" s="53"/>
      <c r="AC19" s="8"/>
    </row>
    <row r="20" spans="1:32">
      <c r="X20" s="74"/>
    </row>
    <row r="23" spans="1:32">
      <c r="T23" s="75"/>
      <c r="U23" s="76"/>
      <c r="V23" s="76"/>
      <c r="W23" s="76"/>
    </row>
    <row r="24" spans="1:32">
      <c r="T24" s="76"/>
      <c r="U24" s="76"/>
      <c r="V24" s="76"/>
      <c r="W24" s="76"/>
    </row>
    <row r="25" spans="1:32">
      <c r="T25" s="76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U28" s="76"/>
      <c r="V28" s="76"/>
      <c r="W28" s="76"/>
    </row>
  </sheetData>
  <autoFilter ref="A15:DD17">
    <filterColumn colId="0" showButton="0"/>
    <filterColumn colId="1" showButton="0"/>
  </autoFilter>
  <mergeCells count="30">
    <mergeCell ref="A18:C18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8"/>
  <sheetViews>
    <sheetView zoomScale="80" zoomScaleNormal="80" zoomScaleSheetLayoutView="73" workbookViewId="0">
      <pane xSplit="5" ySplit="15" topLeftCell="F16" activePane="bottomRight" state="frozen"/>
      <selection activeCell="S21" sqref="S21"/>
      <selection pane="topRight" activeCell="S21" sqref="S21"/>
      <selection pane="bottomLeft" activeCell="S21" sqref="S21"/>
      <selection pane="bottomRight" activeCell="S29" sqref="S29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T18</f>
        <v>224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>
        <v>36</v>
      </c>
      <c r="G14" s="227">
        <v>38</v>
      </c>
      <c r="H14" s="227">
        <v>40</v>
      </c>
      <c r="I14" s="227">
        <v>42</v>
      </c>
      <c r="J14" s="227">
        <v>44</v>
      </c>
      <c r="K14" s="227">
        <v>46</v>
      </c>
      <c r="L14" s="227">
        <v>48</v>
      </c>
      <c r="M14" s="227">
        <v>50</v>
      </c>
      <c r="N14" s="227">
        <v>52</v>
      </c>
      <c r="O14" s="227">
        <v>54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10</v>
      </c>
      <c r="D16" s="27">
        <f t="shared" ref="D16:D17" si="1">+T16/S16</f>
        <v>10</v>
      </c>
      <c r="E16" s="83" t="str">
        <f>+$D$7</f>
        <v>Men's Blazer</v>
      </c>
      <c r="F16" s="31"/>
      <c r="G16" s="31"/>
      <c r="H16" s="31"/>
      <c r="I16" s="31"/>
      <c r="J16" s="31"/>
      <c r="K16" s="31"/>
      <c r="L16" s="31"/>
      <c r="M16" s="30"/>
      <c r="N16" s="31"/>
      <c r="O16" s="31">
        <v>18</v>
      </c>
      <c r="P16" s="30"/>
      <c r="Q16" s="30"/>
      <c r="R16" s="30"/>
      <c r="S16" s="28">
        <f>+SUM(F16:R16)</f>
        <v>18</v>
      </c>
      <c r="T16" s="28">
        <f>18*10</f>
        <v>180</v>
      </c>
      <c r="U16" s="99"/>
      <c r="V16" s="99"/>
      <c r="W16" s="105"/>
      <c r="X16" s="35"/>
      <c r="Y16" s="82">
        <f t="shared" ref="Y16:Y17" si="2">+ROUND(D16*Z16*AA16*AB16/1000000,3)</f>
        <v>1.62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11</v>
      </c>
      <c r="B17" s="28" t="s">
        <v>32</v>
      </c>
      <c r="C17" s="27">
        <f t="shared" si="0"/>
        <v>12</v>
      </c>
      <c r="D17" s="27">
        <f t="shared" si="1"/>
        <v>2</v>
      </c>
      <c r="E17" s="83" t="str">
        <f t="shared" ref="E17" si="3">+$D$7</f>
        <v>Men's Blazer</v>
      </c>
      <c r="F17" s="31"/>
      <c r="G17" s="31"/>
      <c r="H17" s="31"/>
      <c r="I17" s="31"/>
      <c r="J17" s="31"/>
      <c r="K17" s="31"/>
      <c r="L17" s="31"/>
      <c r="M17" s="30"/>
      <c r="N17" s="31"/>
      <c r="O17" s="31">
        <v>22</v>
      </c>
      <c r="P17" s="30"/>
      <c r="Q17" s="30"/>
      <c r="R17" s="30"/>
      <c r="S17" s="28">
        <f t="shared" ref="S17" si="4">+SUM(F17:R17)</f>
        <v>22</v>
      </c>
      <c r="T17" s="28">
        <f>22*2</f>
        <v>44</v>
      </c>
      <c r="U17" s="124"/>
      <c r="V17" s="124"/>
      <c r="W17" s="125"/>
      <c r="X17" s="126"/>
      <c r="Y17" s="82">
        <f t="shared" si="2"/>
        <v>0.32400000000000001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4" customHeight="1">
      <c r="A18" s="219" t="s">
        <v>33</v>
      </c>
      <c r="B18" s="220"/>
      <c r="C18" s="221"/>
      <c r="D18" s="44">
        <f>SUM(D16:D17)</f>
        <v>12</v>
      </c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44">
        <f>SUM(T16:T17)</f>
        <v>224</v>
      </c>
      <c r="U18" s="49"/>
      <c r="V18" s="49"/>
      <c r="W18" s="51">
        <f>SUM(W16:W17)</f>
        <v>0</v>
      </c>
      <c r="X18" s="51">
        <f>SUM(X16:X17)</f>
        <v>0</v>
      </c>
      <c r="Y18" s="51">
        <f>SUM(Y16:Y17)</f>
        <v>1.9440000000000002</v>
      </c>
      <c r="Z18" s="52"/>
      <c r="AA18" s="3"/>
      <c r="AB18" s="53"/>
      <c r="AC18" s="8"/>
      <c r="AF18" s="110"/>
    </row>
    <row r="19" spans="1:32" s="42" customFormat="1" ht="12.75" customHeight="1">
      <c r="A19" s="54"/>
      <c r="B19" s="22"/>
      <c r="C19" s="22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  <c r="T19" s="57"/>
      <c r="U19" s="22"/>
      <c r="V19" s="22"/>
      <c r="W19" s="57"/>
      <c r="X19" s="57"/>
      <c r="Y19" s="58"/>
      <c r="Z19" s="3"/>
      <c r="AA19" s="3"/>
      <c r="AB19" s="53"/>
      <c r="AC19" s="8"/>
    </row>
    <row r="20" spans="1:32">
      <c r="X20" s="74"/>
    </row>
    <row r="23" spans="1:32">
      <c r="T23" s="75"/>
      <c r="U23" s="76"/>
      <c r="V23" s="76"/>
      <c r="W23" s="76"/>
    </row>
    <row r="24" spans="1:32">
      <c r="T24" s="76"/>
      <c r="U24" s="76"/>
      <c r="V24" s="76"/>
      <c r="W24" s="76"/>
    </row>
    <row r="25" spans="1:32">
      <c r="T25" s="76"/>
      <c r="U25" s="76"/>
      <c r="V25" s="76"/>
      <c r="W25" s="76"/>
    </row>
    <row r="26" spans="1:32">
      <c r="T26" s="76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U28" s="76"/>
      <c r="V28" s="76"/>
      <c r="W28" s="76"/>
    </row>
  </sheetData>
  <autoFilter ref="A15:DD17">
    <filterColumn colId="0" showButton="0"/>
    <filterColumn colId="1" showButton="0"/>
  </autoFilter>
  <mergeCells count="30">
    <mergeCell ref="A18:C18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1"/>
  <sheetViews>
    <sheetView zoomScale="80" zoomScaleNormal="80" zoomScaleSheetLayoutView="73" workbookViewId="0">
      <pane xSplit="5" ySplit="15" topLeftCell="P17" activePane="bottomRight" state="frozen"/>
      <selection activeCell="S21" sqref="S21"/>
      <selection pane="topRight" activeCell="S21" sqref="S21"/>
      <selection pane="bottomLeft" activeCell="S21" sqref="S21"/>
      <selection pane="bottomRight" sqref="A1:AB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T21</f>
        <v>526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/>
      <c r="G14" s="227"/>
      <c r="H14" s="227"/>
      <c r="I14" s="227"/>
      <c r="J14" s="227"/>
      <c r="K14" s="227"/>
      <c r="L14" s="227"/>
      <c r="M14" s="227"/>
      <c r="N14" s="227"/>
      <c r="O14" s="227" t="s">
        <v>308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7" si="0">+A16+D16-1</f>
        <v>5</v>
      </c>
      <c r="D16" s="27">
        <f t="shared" ref="D16:D17" si="1">+T16/S16</f>
        <v>5</v>
      </c>
      <c r="E16" s="83" t="str">
        <f>+$D$7</f>
        <v>Men's Blazer</v>
      </c>
      <c r="F16" s="31"/>
      <c r="G16" s="31"/>
      <c r="H16" s="31"/>
      <c r="I16" s="31"/>
      <c r="J16" s="31"/>
      <c r="K16" s="31"/>
      <c r="L16" s="31"/>
      <c r="M16" s="30"/>
      <c r="N16" s="31"/>
      <c r="O16" s="31"/>
      <c r="P16" s="31">
        <v>18</v>
      </c>
      <c r="Q16" s="31"/>
      <c r="R16" s="31"/>
      <c r="S16" s="28">
        <f>+SUM(F16:R16)</f>
        <v>18</v>
      </c>
      <c r="T16" s="28">
        <f>18*5</f>
        <v>90</v>
      </c>
      <c r="U16" s="99"/>
      <c r="V16" s="99"/>
      <c r="W16" s="105"/>
      <c r="X16" s="35"/>
      <c r="Y16" s="82">
        <f t="shared" ref="Y16:Y17" si="2">+ROUND(D16*Z16*AA16*AB16/1000000,3)</f>
        <v>0.81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6</v>
      </c>
      <c r="B17" s="28" t="s">
        <v>32</v>
      </c>
      <c r="C17" s="27">
        <f t="shared" si="0"/>
        <v>6</v>
      </c>
      <c r="D17" s="27">
        <f t="shared" si="1"/>
        <v>1</v>
      </c>
      <c r="E17" s="83" t="str">
        <f t="shared" ref="E17:E20" si="3">+$D$7</f>
        <v>Men's Blazer</v>
      </c>
      <c r="F17" s="31"/>
      <c r="G17" s="31"/>
      <c r="H17" s="31"/>
      <c r="I17" s="31"/>
      <c r="J17" s="31"/>
      <c r="K17" s="31"/>
      <c r="L17" s="31"/>
      <c r="M17" s="30"/>
      <c r="N17" s="31"/>
      <c r="O17" s="31"/>
      <c r="P17" s="31">
        <v>22</v>
      </c>
      <c r="Q17" s="31"/>
      <c r="R17" s="31"/>
      <c r="S17" s="28">
        <f t="shared" ref="S17" si="4">+SUM(F17:R17)</f>
        <v>22</v>
      </c>
      <c r="T17" s="28">
        <f>22*1</f>
        <v>22</v>
      </c>
      <c r="U17" s="124"/>
      <c r="V17" s="124"/>
      <c r="W17" s="125"/>
      <c r="X17" s="126"/>
      <c r="Y17" s="82">
        <f t="shared" si="2"/>
        <v>0.16200000000000001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>+C17+1</f>
        <v>7</v>
      </c>
      <c r="B18" s="28" t="s">
        <v>32</v>
      </c>
      <c r="C18" s="27">
        <f t="shared" ref="C18" si="5">+A18+D18-1</f>
        <v>9</v>
      </c>
      <c r="D18" s="27">
        <f t="shared" ref="D18" si="6">+T18/S18</f>
        <v>3</v>
      </c>
      <c r="E18" s="83" t="str">
        <f t="shared" si="3"/>
        <v>Men's Blazer</v>
      </c>
      <c r="F18" s="31"/>
      <c r="G18" s="31"/>
      <c r="H18" s="31"/>
      <c r="I18" s="31"/>
      <c r="J18" s="31"/>
      <c r="K18" s="31"/>
      <c r="L18" s="31"/>
      <c r="M18" s="30"/>
      <c r="N18" s="31"/>
      <c r="O18" s="31"/>
      <c r="P18" s="31"/>
      <c r="Q18" s="31">
        <v>18</v>
      </c>
      <c r="R18" s="31"/>
      <c r="S18" s="28">
        <f t="shared" ref="S18" si="7">+SUM(F18:R18)</f>
        <v>18</v>
      </c>
      <c r="T18" s="28">
        <f>18*3</f>
        <v>54</v>
      </c>
      <c r="U18" s="124"/>
      <c r="V18" s="124"/>
      <c r="W18" s="125"/>
      <c r="X18" s="126"/>
      <c r="Y18" s="82">
        <f t="shared" ref="Y18" si="8">+ROUND(D18*Z18*AA18*AB18/1000000,3)</f>
        <v>0.48599999999999999</v>
      </c>
      <c r="Z18" s="94">
        <v>90</v>
      </c>
      <c r="AA18" s="94">
        <v>60</v>
      </c>
      <c r="AB18" s="94">
        <v>30</v>
      </c>
      <c r="AC18" s="109" t="s">
        <v>309</v>
      </c>
    </row>
    <row r="19" spans="1:32" s="42" customFormat="1" ht="27.75" customHeight="1">
      <c r="A19" s="27">
        <f>+C18+1</f>
        <v>10</v>
      </c>
      <c r="B19" s="28" t="s">
        <v>32</v>
      </c>
      <c r="C19" s="27">
        <f t="shared" ref="C19" si="9">+A19+D19-1</f>
        <v>11</v>
      </c>
      <c r="D19" s="27">
        <f t="shared" ref="D19" si="10">+T19/S19</f>
        <v>2</v>
      </c>
      <c r="E19" s="83" t="str">
        <f t="shared" si="3"/>
        <v>Men's Blazer</v>
      </c>
      <c r="F19" s="31"/>
      <c r="G19" s="31"/>
      <c r="H19" s="31"/>
      <c r="I19" s="31"/>
      <c r="J19" s="31"/>
      <c r="K19" s="31"/>
      <c r="L19" s="31"/>
      <c r="M19" s="30"/>
      <c r="N19" s="31"/>
      <c r="O19" s="31"/>
      <c r="P19" s="31"/>
      <c r="Q19" s="31"/>
      <c r="R19" s="31">
        <v>18</v>
      </c>
      <c r="S19" s="28">
        <f t="shared" ref="S19" si="11">+SUM(F19:R19)</f>
        <v>18</v>
      </c>
      <c r="T19" s="28">
        <f>18*2</f>
        <v>36</v>
      </c>
      <c r="U19" s="124"/>
      <c r="V19" s="124"/>
      <c r="W19" s="125"/>
      <c r="X19" s="126"/>
      <c r="Y19" s="82">
        <f t="shared" ref="Y19" si="12">+ROUND(D19*Z19*AA19*AB19/1000000,3)</f>
        <v>0.32400000000000001</v>
      </c>
      <c r="Z19" s="94">
        <v>90</v>
      </c>
      <c r="AA19" s="94">
        <v>60</v>
      </c>
      <c r="AB19" s="94">
        <v>30</v>
      </c>
      <c r="AC19" s="109" t="s">
        <v>309</v>
      </c>
    </row>
    <row r="20" spans="1:32" s="42" customFormat="1" ht="27.75" customHeight="1">
      <c r="A20" s="27">
        <f>+C19+1</f>
        <v>12</v>
      </c>
      <c r="B20" s="28" t="s">
        <v>32</v>
      </c>
      <c r="C20" s="27">
        <f t="shared" ref="C20" si="13">+A20+D20-1</f>
        <v>29</v>
      </c>
      <c r="D20" s="27">
        <f t="shared" ref="D20" si="14">+T20/S20</f>
        <v>18</v>
      </c>
      <c r="E20" s="83" t="str">
        <f t="shared" si="3"/>
        <v>Men's Blazer</v>
      </c>
      <c r="F20" s="31"/>
      <c r="G20" s="31"/>
      <c r="H20" s="31"/>
      <c r="I20" s="31"/>
      <c r="J20" s="31"/>
      <c r="K20" s="31"/>
      <c r="L20" s="31"/>
      <c r="M20" s="30"/>
      <c r="N20" s="31"/>
      <c r="O20" s="31">
        <v>18</v>
      </c>
      <c r="P20" s="30"/>
      <c r="Q20" s="30"/>
      <c r="R20" s="30"/>
      <c r="S20" s="28">
        <f t="shared" ref="S20" si="15">+SUM(F20:R20)</f>
        <v>18</v>
      </c>
      <c r="T20" s="28">
        <f>18*18</f>
        <v>324</v>
      </c>
      <c r="U20" s="124"/>
      <c r="V20" s="124"/>
      <c r="W20" s="125"/>
      <c r="X20" s="126"/>
      <c r="Y20" s="82">
        <f t="shared" ref="Y20" si="16">+ROUND(D20*Z20*AA20*AB20/1000000,3)</f>
        <v>2.9159999999999999</v>
      </c>
      <c r="Z20" s="94">
        <v>90</v>
      </c>
      <c r="AA20" s="94">
        <v>60</v>
      </c>
      <c r="AB20" s="94">
        <v>30</v>
      </c>
      <c r="AC20" s="109" t="s">
        <v>309</v>
      </c>
    </row>
    <row r="21" spans="1:32" s="42" customFormat="1" ht="24" customHeight="1">
      <c r="A21" s="219" t="s">
        <v>33</v>
      </c>
      <c r="B21" s="220"/>
      <c r="C21" s="221"/>
      <c r="D21" s="44">
        <f>SUM(D16:D20)</f>
        <v>29</v>
      </c>
      <c r="E21" s="45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  <c r="T21" s="44">
        <f>SUM(T16:T20)</f>
        <v>526</v>
      </c>
      <c r="U21" s="49"/>
      <c r="V21" s="49"/>
      <c r="W21" s="51">
        <f t="shared" ref="W21:Y21" si="17">SUM(W16:W20)</f>
        <v>0</v>
      </c>
      <c r="X21" s="51">
        <f t="shared" si="17"/>
        <v>0</v>
      </c>
      <c r="Y21" s="51">
        <f t="shared" si="17"/>
        <v>4.6980000000000004</v>
      </c>
      <c r="Z21" s="52"/>
      <c r="AA21" s="3"/>
      <c r="AB21" s="53"/>
      <c r="AC21" s="8"/>
      <c r="AF21" s="110"/>
    </row>
    <row r="22" spans="1:32" s="42" customFormat="1" ht="12.75" customHeight="1">
      <c r="A22" s="54"/>
      <c r="B22" s="22"/>
      <c r="C22" s="22"/>
      <c r="D22" s="55"/>
      <c r="E22" s="5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6"/>
      <c r="T22" s="57"/>
      <c r="U22" s="22"/>
      <c r="V22" s="22"/>
      <c r="W22" s="57"/>
      <c r="X22" s="57"/>
      <c r="Y22" s="58"/>
      <c r="Z22" s="3"/>
      <c r="AA22" s="3"/>
      <c r="AB22" s="53"/>
      <c r="AC22" s="8"/>
    </row>
    <row r="23" spans="1:32">
      <c r="X23" s="74"/>
    </row>
    <row r="26" spans="1:32">
      <c r="T26" s="75"/>
      <c r="U26" s="76"/>
      <c r="V26" s="76"/>
      <c r="W26" s="76"/>
    </row>
    <row r="27" spans="1:32">
      <c r="T27" s="76"/>
      <c r="U27" s="76"/>
      <c r="V27" s="76"/>
      <c r="W27" s="76"/>
    </row>
    <row r="28" spans="1:32">
      <c r="T28" s="76"/>
      <c r="U28" s="76"/>
      <c r="V28" s="76"/>
      <c r="W28" s="76"/>
    </row>
    <row r="29" spans="1:32">
      <c r="T29" s="76"/>
      <c r="U29" s="76"/>
      <c r="V29" s="76"/>
      <c r="W29" s="76"/>
    </row>
    <row r="30" spans="1:32">
      <c r="T30" s="76"/>
      <c r="U30" s="76"/>
      <c r="V30" s="76"/>
      <c r="W30" s="76"/>
    </row>
    <row r="31" spans="1:32">
      <c r="U31" s="76"/>
      <c r="V31" s="76"/>
      <c r="W31" s="76"/>
    </row>
  </sheetData>
  <autoFilter ref="A15:DD17">
    <filterColumn colId="0" showButton="0"/>
    <filterColumn colId="1" showButton="0"/>
  </autoFilter>
  <mergeCells count="30">
    <mergeCell ref="A21:C21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D10:E10"/>
    <mergeCell ref="A1:AB1"/>
    <mergeCell ref="A2:AB2"/>
    <mergeCell ref="A3:AB3"/>
    <mergeCell ref="A4:AB4"/>
    <mergeCell ref="A6:AB6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41"/>
  <sheetViews>
    <sheetView zoomScale="80" zoomScaleNormal="80" zoomScaleSheetLayoutView="73" workbookViewId="0">
      <pane xSplit="5" ySplit="15" topLeftCell="I30" activePane="bottomRight" state="frozen"/>
      <selection activeCell="S21" sqref="S21"/>
      <selection pane="topRight" activeCell="S21" sqref="S21"/>
      <selection pane="bottomLeft" activeCell="S21" sqref="S21"/>
      <selection pane="bottomRight" activeCell="D39" sqref="D39:D41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21.42578125" style="73" customWidth="1"/>
    <col min="6" max="18" width="7" style="73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9.7109375" style="73" customWidth="1"/>
    <col min="24" max="24" width="9.85546875" style="73" customWidth="1"/>
    <col min="25" max="25" width="14" style="73" customWidth="1"/>
    <col min="26" max="27" width="11.28515625" style="73" customWidth="1"/>
    <col min="28" max="28" width="9.140625" style="73" customWidth="1"/>
    <col min="29" max="29" width="28.7109375" style="73" customWidth="1"/>
    <col min="30" max="250" width="9.140625" style="73"/>
    <col min="251" max="251" width="6.85546875" style="73" customWidth="1"/>
    <col min="252" max="252" width="2.140625" style="73" customWidth="1"/>
    <col min="253" max="253" width="6.140625" style="73" customWidth="1"/>
    <col min="254" max="254" width="8.85546875" style="73" customWidth="1"/>
    <col min="255" max="255" width="28.42578125" style="73" customWidth="1"/>
    <col min="256" max="256" width="13.85546875" style="73" customWidth="1"/>
    <col min="257" max="257" width="8.42578125" style="73" customWidth="1"/>
    <col min="258" max="261" width="0" style="73" hidden="1" customWidth="1"/>
    <col min="262" max="262" width="5.28515625" style="73" customWidth="1"/>
    <col min="263" max="263" width="5.5703125" style="73" customWidth="1"/>
    <col min="264" max="264" width="6" style="73" customWidth="1"/>
    <col min="265" max="265" width="5.5703125" style="73" customWidth="1"/>
    <col min="266" max="267" width="5.7109375" style="73" customWidth="1"/>
    <col min="268" max="268" width="9.85546875" style="73" customWidth="1"/>
    <col min="269" max="269" width="9.7109375" style="73" customWidth="1"/>
    <col min="270" max="270" width="8.85546875" style="73" customWidth="1"/>
    <col min="271" max="271" width="10" style="73" customWidth="1"/>
    <col min="272" max="272" width="8.28515625" style="73" customWidth="1"/>
    <col min="273" max="273" width="9.5703125" style="73" customWidth="1"/>
    <col min="274" max="274" width="15.5703125" style="73" customWidth="1"/>
    <col min="275" max="506" width="9.140625" style="73"/>
    <col min="507" max="507" width="6.85546875" style="73" customWidth="1"/>
    <col min="508" max="508" width="2.140625" style="73" customWidth="1"/>
    <col min="509" max="509" width="6.140625" style="73" customWidth="1"/>
    <col min="510" max="510" width="8.85546875" style="73" customWidth="1"/>
    <col min="511" max="511" width="28.42578125" style="73" customWidth="1"/>
    <col min="512" max="512" width="13.85546875" style="73" customWidth="1"/>
    <col min="513" max="513" width="8.42578125" style="73" customWidth="1"/>
    <col min="514" max="517" width="0" style="73" hidden="1" customWidth="1"/>
    <col min="518" max="518" width="5.28515625" style="73" customWidth="1"/>
    <col min="519" max="519" width="5.5703125" style="73" customWidth="1"/>
    <col min="520" max="520" width="6" style="73" customWidth="1"/>
    <col min="521" max="521" width="5.5703125" style="73" customWidth="1"/>
    <col min="522" max="523" width="5.7109375" style="73" customWidth="1"/>
    <col min="524" max="524" width="9.85546875" style="73" customWidth="1"/>
    <col min="525" max="525" width="9.7109375" style="73" customWidth="1"/>
    <col min="526" max="526" width="8.85546875" style="73" customWidth="1"/>
    <col min="527" max="527" width="10" style="73" customWidth="1"/>
    <col min="528" max="528" width="8.28515625" style="73" customWidth="1"/>
    <col min="529" max="529" width="9.5703125" style="73" customWidth="1"/>
    <col min="530" max="530" width="15.5703125" style="73" customWidth="1"/>
    <col min="531" max="762" width="9.140625" style="73"/>
    <col min="763" max="763" width="6.85546875" style="73" customWidth="1"/>
    <col min="764" max="764" width="2.140625" style="73" customWidth="1"/>
    <col min="765" max="765" width="6.140625" style="73" customWidth="1"/>
    <col min="766" max="766" width="8.85546875" style="73" customWidth="1"/>
    <col min="767" max="767" width="28.42578125" style="73" customWidth="1"/>
    <col min="768" max="768" width="13.85546875" style="73" customWidth="1"/>
    <col min="769" max="769" width="8.42578125" style="73" customWidth="1"/>
    <col min="770" max="773" width="0" style="73" hidden="1" customWidth="1"/>
    <col min="774" max="774" width="5.28515625" style="73" customWidth="1"/>
    <col min="775" max="775" width="5.5703125" style="73" customWidth="1"/>
    <col min="776" max="776" width="6" style="73" customWidth="1"/>
    <col min="777" max="777" width="5.5703125" style="73" customWidth="1"/>
    <col min="778" max="779" width="5.7109375" style="73" customWidth="1"/>
    <col min="780" max="780" width="9.85546875" style="73" customWidth="1"/>
    <col min="781" max="781" width="9.7109375" style="73" customWidth="1"/>
    <col min="782" max="782" width="8.85546875" style="73" customWidth="1"/>
    <col min="783" max="783" width="10" style="73" customWidth="1"/>
    <col min="784" max="784" width="8.28515625" style="73" customWidth="1"/>
    <col min="785" max="785" width="9.5703125" style="73" customWidth="1"/>
    <col min="786" max="786" width="15.5703125" style="73" customWidth="1"/>
    <col min="787" max="1018" width="9.140625" style="73"/>
    <col min="1019" max="1019" width="6.85546875" style="73" customWidth="1"/>
    <col min="1020" max="1020" width="2.140625" style="73" customWidth="1"/>
    <col min="1021" max="1021" width="6.140625" style="73" customWidth="1"/>
    <col min="1022" max="1022" width="8.85546875" style="73" customWidth="1"/>
    <col min="1023" max="1023" width="28.42578125" style="73" customWidth="1"/>
    <col min="1024" max="1024" width="13.85546875" style="73" customWidth="1"/>
    <col min="1025" max="1025" width="8.42578125" style="73" customWidth="1"/>
    <col min="1026" max="1029" width="0" style="73" hidden="1" customWidth="1"/>
    <col min="1030" max="1030" width="5.28515625" style="73" customWidth="1"/>
    <col min="1031" max="1031" width="5.5703125" style="73" customWidth="1"/>
    <col min="1032" max="1032" width="6" style="73" customWidth="1"/>
    <col min="1033" max="1033" width="5.5703125" style="73" customWidth="1"/>
    <col min="1034" max="1035" width="5.7109375" style="73" customWidth="1"/>
    <col min="1036" max="1036" width="9.85546875" style="73" customWidth="1"/>
    <col min="1037" max="1037" width="9.7109375" style="73" customWidth="1"/>
    <col min="1038" max="1038" width="8.85546875" style="73" customWidth="1"/>
    <col min="1039" max="1039" width="10" style="73" customWidth="1"/>
    <col min="1040" max="1040" width="8.28515625" style="73" customWidth="1"/>
    <col min="1041" max="1041" width="9.5703125" style="73" customWidth="1"/>
    <col min="1042" max="1042" width="15.5703125" style="73" customWidth="1"/>
    <col min="1043" max="1274" width="9.140625" style="73"/>
    <col min="1275" max="1275" width="6.85546875" style="73" customWidth="1"/>
    <col min="1276" max="1276" width="2.140625" style="73" customWidth="1"/>
    <col min="1277" max="1277" width="6.140625" style="73" customWidth="1"/>
    <col min="1278" max="1278" width="8.85546875" style="73" customWidth="1"/>
    <col min="1279" max="1279" width="28.42578125" style="73" customWidth="1"/>
    <col min="1280" max="1280" width="13.85546875" style="73" customWidth="1"/>
    <col min="1281" max="1281" width="8.42578125" style="73" customWidth="1"/>
    <col min="1282" max="1285" width="0" style="73" hidden="1" customWidth="1"/>
    <col min="1286" max="1286" width="5.28515625" style="73" customWidth="1"/>
    <col min="1287" max="1287" width="5.5703125" style="73" customWidth="1"/>
    <col min="1288" max="1288" width="6" style="73" customWidth="1"/>
    <col min="1289" max="1289" width="5.5703125" style="73" customWidth="1"/>
    <col min="1290" max="1291" width="5.7109375" style="73" customWidth="1"/>
    <col min="1292" max="1292" width="9.85546875" style="73" customWidth="1"/>
    <col min="1293" max="1293" width="9.7109375" style="73" customWidth="1"/>
    <col min="1294" max="1294" width="8.85546875" style="73" customWidth="1"/>
    <col min="1295" max="1295" width="10" style="73" customWidth="1"/>
    <col min="1296" max="1296" width="8.28515625" style="73" customWidth="1"/>
    <col min="1297" max="1297" width="9.5703125" style="73" customWidth="1"/>
    <col min="1298" max="1298" width="15.5703125" style="73" customWidth="1"/>
    <col min="1299" max="1530" width="9.140625" style="73"/>
    <col min="1531" max="1531" width="6.85546875" style="73" customWidth="1"/>
    <col min="1532" max="1532" width="2.140625" style="73" customWidth="1"/>
    <col min="1533" max="1533" width="6.140625" style="73" customWidth="1"/>
    <col min="1534" max="1534" width="8.85546875" style="73" customWidth="1"/>
    <col min="1535" max="1535" width="28.42578125" style="73" customWidth="1"/>
    <col min="1536" max="1536" width="13.85546875" style="73" customWidth="1"/>
    <col min="1537" max="1537" width="8.42578125" style="73" customWidth="1"/>
    <col min="1538" max="1541" width="0" style="73" hidden="1" customWidth="1"/>
    <col min="1542" max="1542" width="5.28515625" style="73" customWidth="1"/>
    <col min="1543" max="1543" width="5.5703125" style="73" customWidth="1"/>
    <col min="1544" max="1544" width="6" style="73" customWidth="1"/>
    <col min="1545" max="1545" width="5.5703125" style="73" customWidth="1"/>
    <col min="1546" max="1547" width="5.7109375" style="73" customWidth="1"/>
    <col min="1548" max="1548" width="9.85546875" style="73" customWidth="1"/>
    <col min="1549" max="1549" width="9.7109375" style="73" customWidth="1"/>
    <col min="1550" max="1550" width="8.85546875" style="73" customWidth="1"/>
    <col min="1551" max="1551" width="10" style="73" customWidth="1"/>
    <col min="1552" max="1552" width="8.28515625" style="73" customWidth="1"/>
    <col min="1553" max="1553" width="9.5703125" style="73" customWidth="1"/>
    <col min="1554" max="1554" width="15.5703125" style="73" customWidth="1"/>
    <col min="1555" max="1786" width="9.140625" style="73"/>
    <col min="1787" max="1787" width="6.85546875" style="73" customWidth="1"/>
    <col min="1788" max="1788" width="2.140625" style="73" customWidth="1"/>
    <col min="1789" max="1789" width="6.140625" style="73" customWidth="1"/>
    <col min="1790" max="1790" width="8.85546875" style="73" customWidth="1"/>
    <col min="1791" max="1791" width="28.42578125" style="73" customWidth="1"/>
    <col min="1792" max="1792" width="13.85546875" style="73" customWidth="1"/>
    <col min="1793" max="1793" width="8.42578125" style="73" customWidth="1"/>
    <col min="1794" max="1797" width="0" style="73" hidden="1" customWidth="1"/>
    <col min="1798" max="1798" width="5.28515625" style="73" customWidth="1"/>
    <col min="1799" max="1799" width="5.5703125" style="73" customWidth="1"/>
    <col min="1800" max="1800" width="6" style="73" customWidth="1"/>
    <col min="1801" max="1801" width="5.5703125" style="73" customWidth="1"/>
    <col min="1802" max="1803" width="5.7109375" style="73" customWidth="1"/>
    <col min="1804" max="1804" width="9.85546875" style="73" customWidth="1"/>
    <col min="1805" max="1805" width="9.7109375" style="73" customWidth="1"/>
    <col min="1806" max="1806" width="8.85546875" style="73" customWidth="1"/>
    <col min="1807" max="1807" width="10" style="73" customWidth="1"/>
    <col min="1808" max="1808" width="8.28515625" style="73" customWidth="1"/>
    <col min="1809" max="1809" width="9.5703125" style="73" customWidth="1"/>
    <col min="1810" max="1810" width="15.5703125" style="73" customWidth="1"/>
    <col min="1811" max="2042" width="9.140625" style="73"/>
    <col min="2043" max="2043" width="6.85546875" style="73" customWidth="1"/>
    <col min="2044" max="2044" width="2.140625" style="73" customWidth="1"/>
    <col min="2045" max="2045" width="6.140625" style="73" customWidth="1"/>
    <col min="2046" max="2046" width="8.85546875" style="73" customWidth="1"/>
    <col min="2047" max="2047" width="28.42578125" style="73" customWidth="1"/>
    <col min="2048" max="2048" width="13.85546875" style="73" customWidth="1"/>
    <col min="2049" max="2049" width="8.42578125" style="73" customWidth="1"/>
    <col min="2050" max="2053" width="0" style="73" hidden="1" customWidth="1"/>
    <col min="2054" max="2054" width="5.28515625" style="73" customWidth="1"/>
    <col min="2055" max="2055" width="5.5703125" style="73" customWidth="1"/>
    <col min="2056" max="2056" width="6" style="73" customWidth="1"/>
    <col min="2057" max="2057" width="5.5703125" style="73" customWidth="1"/>
    <col min="2058" max="2059" width="5.7109375" style="73" customWidth="1"/>
    <col min="2060" max="2060" width="9.85546875" style="73" customWidth="1"/>
    <col min="2061" max="2061" width="9.7109375" style="73" customWidth="1"/>
    <col min="2062" max="2062" width="8.85546875" style="73" customWidth="1"/>
    <col min="2063" max="2063" width="10" style="73" customWidth="1"/>
    <col min="2064" max="2064" width="8.28515625" style="73" customWidth="1"/>
    <col min="2065" max="2065" width="9.5703125" style="73" customWidth="1"/>
    <col min="2066" max="2066" width="15.5703125" style="73" customWidth="1"/>
    <col min="2067" max="2298" width="9.140625" style="73"/>
    <col min="2299" max="2299" width="6.85546875" style="73" customWidth="1"/>
    <col min="2300" max="2300" width="2.140625" style="73" customWidth="1"/>
    <col min="2301" max="2301" width="6.140625" style="73" customWidth="1"/>
    <col min="2302" max="2302" width="8.85546875" style="73" customWidth="1"/>
    <col min="2303" max="2303" width="28.42578125" style="73" customWidth="1"/>
    <col min="2304" max="2304" width="13.85546875" style="73" customWidth="1"/>
    <col min="2305" max="2305" width="8.42578125" style="73" customWidth="1"/>
    <col min="2306" max="2309" width="0" style="73" hidden="1" customWidth="1"/>
    <col min="2310" max="2310" width="5.28515625" style="73" customWidth="1"/>
    <col min="2311" max="2311" width="5.5703125" style="73" customWidth="1"/>
    <col min="2312" max="2312" width="6" style="73" customWidth="1"/>
    <col min="2313" max="2313" width="5.5703125" style="73" customWidth="1"/>
    <col min="2314" max="2315" width="5.7109375" style="73" customWidth="1"/>
    <col min="2316" max="2316" width="9.85546875" style="73" customWidth="1"/>
    <col min="2317" max="2317" width="9.7109375" style="73" customWidth="1"/>
    <col min="2318" max="2318" width="8.85546875" style="73" customWidth="1"/>
    <col min="2319" max="2319" width="10" style="73" customWidth="1"/>
    <col min="2320" max="2320" width="8.28515625" style="73" customWidth="1"/>
    <col min="2321" max="2321" width="9.5703125" style="73" customWidth="1"/>
    <col min="2322" max="2322" width="15.5703125" style="73" customWidth="1"/>
    <col min="2323" max="2554" width="9.140625" style="73"/>
    <col min="2555" max="2555" width="6.85546875" style="73" customWidth="1"/>
    <col min="2556" max="2556" width="2.140625" style="73" customWidth="1"/>
    <col min="2557" max="2557" width="6.140625" style="73" customWidth="1"/>
    <col min="2558" max="2558" width="8.85546875" style="73" customWidth="1"/>
    <col min="2559" max="2559" width="28.42578125" style="73" customWidth="1"/>
    <col min="2560" max="2560" width="13.85546875" style="73" customWidth="1"/>
    <col min="2561" max="2561" width="8.42578125" style="73" customWidth="1"/>
    <col min="2562" max="2565" width="0" style="73" hidden="1" customWidth="1"/>
    <col min="2566" max="2566" width="5.28515625" style="73" customWidth="1"/>
    <col min="2567" max="2567" width="5.5703125" style="73" customWidth="1"/>
    <col min="2568" max="2568" width="6" style="73" customWidth="1"/>
    <col min="2569" max="2569" width="5.5703125" style="73" customWidth="1"/>
    <col min="2570" max="2571" width="5.7109375" style="73" customWidth="1"/>
    <col min="2572" max="2572" width="9.85546875" style="73" customWidth="1"/>
    <col min="2573" max="2573" width="9.7109375" style="73" customWidth="1"/>
    <col min="2574" max="2574" width="8.85546875" style="73" customWidth="1"/>
    <col min="2575" max="2575" width="10" style="73" customWidth="1"/>
    <col min="2576" max="2576" width="8.28515625" style="73" customWidth="1"/>
    <col min="2577" max="2577" width="9.5703125" style="73" customWidth="1"/>
    <col min="2578" max="2578" width="15.5703125" style="73" customWidth="1"/>
    <col min="2579" max="2810" width="9.140625" style="73"/>
    <col min="2811" max="2811" width="6.85546875" style="73" customWidth="1"/>
    <col min="2812" max="2812" width="2.140625" style="73" customWidth="1"/>
    <col min="2813" max="2813" width="6.140625" style="73" customWidth="1"/>
    <col min="2814" max="2814" width="8.85546875" style="73" customWidth="1"/>
    <col min="2815" max="2815" width="28.42578125" style="73" customWidth="1"/>
    <col min="2816" max="2816" width="13.85546875" style="73" customWidth="1"/>
    <col min="2817" max="2817" width="8.42578125" style="73" customWidth="1"/>
    <col min="2818" max="2821" width="0" style="73" hidden="1" customWidth="1"/>
    <col min="2822" max="2822" width="5.28515625" style="73" customWidth="1"/>
    <col min="2823" max="2823" width="5.5703125" style="73" customWidth="1"/>
    <col min="2824" max="2824" width="6" style="73" customWidth="1"/>
    <col min="2825" max="2825" width="5.5703125" style="73" customWidth="1"/>
    <col min="2826" max="2827" width="5.7109375" style="73" customWidth="1"/>
    <col min="2828" max="2828" width="9.85546875" style="73" customWidth="1"/>
    <col min="2829" max="2829" width="9.7109375" style="73" customWidth="1"/>
    <col min="2830" max="2830" width="8.85546875" style="73" customWidth="1"/>
    <col min="2831" max="2831" width="10" style="73" customWidth="1"/>
    <col min="2832" max="2832" width="8.28515625" style="73" customWidth="1"/>
    <col min="2833" max="2833" width="9.5703125" style="73" customWidth="1"/>
    <col min="2834" max="2834" width="15.5703125" style="73" customWidth="1"/>
    <col min="2835" max="3066" width="9.140625" style="73"/>
    <col min="3067" max="3067" width="6.85546875" style="73" customWidth="1"/>
    <col min="3068" max="3068" width="2.140625" style="73" customWidth="1"/>
    <col min="3069" max="3069" width="6.140625" style="73" customWidth="1"/>
    <col min="3070" max="3070" width="8.85546875" style="73" customWidth="1"/>
    <col min="3071" max="3071" width="28.42578125" style="73" customWidth="1"/>
    <col min="3072" max="3072" width="13.85546875" style="73" customWidth="1"/>
    <col min="3073" max="3073" width="8.42578125" style="73" customWidth="1"/>
    <col min="3074" max="3077" width="0" style="73" hidden="1" customWidth="1"/>
    <col min="3078" max="3078" width="5.28515625" style="73" customWidth="1"/>
    <col min="3079" max="3079" width="5.5703125" style="73" customWidth="1"/>
    <col min="3080" max="3080" width="6" style="73" customWidth="1"/>
    <col min="3081" max="3081" width="5.5703125" style="73" customWidth="1"/>
    <col min="3082" max="3083" width="5.7109375" style="73" customWidth="1"/>
    <col min="3084" max="3084" width="9.85546875" style="73" customWidth="1"/>
    <col min="3085" max="3085" width="9.7109375" style="73" customWidth="1"/>
    <col min="3086" max="3086" width="8.85546875" style="73" customWidth="1"/>
    <col min="3087" max="3087" width="10" style="73" customWidth="1"/>
    <col min="3088" max="3088" width="8.28515625" style="73" customWidth="1"/>
    <col min="3089" max="3089" width="9.5703125" style="73" customWidth="1"/>
    <col min="3090" max="3090" width="15.5703125" style="73" customWidth="1"/>
    <col min="3091" max="3322" width="9.140625" style="73"/>
    <col min="3323" max="3323" width="6.85546875" style="73" customWidth="1"/>
    <col min="3324" max="3324" width="2.140625" style="73" customWidth="1"/>
    <col min="3325" max="3325" width="6.140625" style="73" customWidth="1"/>
    <col min="3326" max="3326" width="8.85546875" style="73" customWidth="1"/>
    <col min="3327" max="3327" width="28.42578125" style="73" customWidth="1"/>
    <col min="3328" max="3328" width="13.85546875" style="73" customWidth="1"/>
    <col min="3329" max="3329" width="8.42578125" style="73" customWidth="1"/>
    <col min="3330" max="3333" width="0" style="73" hidden="1" customWidth="1"/>
    <col min="3334" max="3334" width="5.28515625" style="73" customWidth="1"/>
    <col min="3335" max="3335" width="5.5703125" style="73" customWidth="1"/>
    <col min="3336" max="3336" width="6" style="73" customWidth="1"/>
    <col min="3337" max="3337" width="5.5703125" style="73" customWidth="1"/>
    <col min="3338" max="3339" width="5.7109375" style="73" customWidth="1"/>
    <col min="3340" max="3340" width="9.85546875" style="73" customWidth="1"/>
    <col min="3341" max="3341" width="9.7109375" style="73" customWidth="1"/>
    <col min="3342" max="3342" width="8.85546875" style="73" customWidth="1"/>
    <col min="3343" max="3343" width="10" style="73" customWidth="1"/>
    <col min="3344" max="3344" width="8.28515625" style="73" customWidth="1"/>
    <col min="3345" max="3345" width="9.5703125" style="73" customWidth="1"/>
    <col min="3346" max="3346" width="15.5703125" style="73" customWidth="1"/>
    <col min="3347" max="3578" width="9.140625" style="73"/>
    <col min="3579" max="3579" width="6.85546875" style="73" customWidth="1"/>
    <col min="3580" max="3580" width="2.140625" style="73" customWidth="1"/>
    <col min="3581" max="3581" width="6.140625" style="73" customWidth="1"/>
    <col min="3582" max="3582" width="8.85546875" style="73" customWidth="1"/>
    <col min="3583" max="3583" width="28.42578125" style="73" customWidth="1"/>
    <col min="3584" max="3584" width="13.85546875" style="73" customWidth="1"/>
    <col min="3585" max="3585" width="8.42578125" style="73" customWidth="1"/>
    <col min="3586" max="3589" width="0" style="73" hidden="1" customWidth="1"/>
    <col min="3590" max="3590" width="5.28515625" style="73" customWidth="1"/>
    <col min="3591" max="3591" width="5.5703125" style="73" customWidth="1"/>
    <col min="3592" max="3592" width="6" style="73" customWidth="1"/>
    <col min="3593" max="3593" width="5.5703125" style="73" customWidth="1"/>
    <col min="3594" max="3595" width="5.7109375" style="73" customWidth="1"/>
    <col min="3596" max="3596" width="9.85546875" style="73" customWidth="1"/>
    <col min="3597" max="3597" width="9.7109375" style="73" customWidth="1"/>
    <col min="3598" max="3598" width="8.85546875" style="73" customWidth="1"/>
    <col min="3599" max="3599" width="10" style="73" customWidth="1"/>
    <col min="3600" max="3600" width="8.28515625" style="73" customWidth="1"/>
    <col min="3601" max="3601" width="9.5703125" style="73" customWidth="1"/>
    <col min="3602" max="3602" width="15.5703125" style="73" customWidth="1"/>
    <col min="3603" max="3834" width="9.140625" style="73"/>
    <col min="3835" max="3835" width="6.85546875" style="73" customWidth="1"/>
    <col min="3836" max="3836" width="2.140625" style="73" customWidth="1"/>
    <col min="3837" max="3837" width="6.140625" style="73" customWidth="1"/>
    <col min="3838" max="3838" width="8.85546875" style="73" customWidth="1"/>
    <col min="3839" max="3839" width="28.42578125" style="73" customWidth="1"/>
    <col min="3840" max="3840" width="13.85546875" style="73" customWidth="1"/>
    <col min="3841" max="3841" width="8.42578125" style="73" customWidth="1"/>
    <col min="3842" max="3845" width="0" style="73" hidden="1" customWidth="1"/>
    <col min="3846" max="3846" width="5.28515625" style="73" customWidth="1"/>
    <col min="3847" max="3847" width="5.5703125" style="73" customWidth="1"/>
    <col min="3848" max="3848" width="6" style="73" customWidth="1"/>
    <col min="3849" max="3849" width="5.5703125" style="73" customWidth="1"/>
    <col min="3850" max="3851" width="5.7109375" style="73" customWidth="1"/>
    <col min="3852" max="3852" width="9.85546875" style="73" customWidth="1"/>
    <col min="3853" max="3853" width="9.7109375" style="73" customWidth="1"/>
    <col min="3854" max="3854" width="8.85546875" style="73" customWidth="1"/>
    <col min="3855" max="3855" width="10" style="73" customWidth="1"/>
    <col min="3856" max="3856" width="8.28515625" style="73" customWidth="1"/>
    <col min="3857" max="3857" width="9.5703125" style="73" customWidth="1"/>
    <col min="3858" max="3858" width="15.5703125" style="73" customWidth="1"/>
    <col min="3859" max="4090" width="9.140625" style="73"/>
    <col min="4091" max="4091" width="6.85546875" style="73" customWidth="1"/>
    <col min="4092" max="4092" width="2.140625" style="73" customWidth="1"/>
    <col min="4093" max="4093" width="6.140625" style="73" customWidth="1"/>
    <col min="4094" max="4094" width="8.85546875" style="73" customWidth="1"/>
    <col min="4095" max="4095" width="28.42578125" style="73" customWidth="1"/>
    <col min="4096" max="4096" width="13.85546875" style="73" customWidth="1"/>
    <col min="4097" max="4097" width="8.42578125" style="73" customWidth="1"/>
    <col min="4098" max="4101" width="0" style="73" hidden="1" customWidth="1"/>
    <col min="4102" max="4102" width="5.28515625" style="73" customWidth="1"/>
    <col min="4103" max="4103" width="5.5703125" style="73" customWidth="1"/>
    <col min="4104" max="4104" width="6" style="73" customWidth="1"/>
    <col min="4105" max="4105" width="5.5703125" style="73" customWidth="1"/>
    <col min="4106" max="4107" width="5.7109375" style="73" customWidth="1"/>
    <col min="4108" max="4108" width="9.85546875" style="73" customWidth="1"/>
    <col min="4109" max="4109" width="9.7109375" style="73" customWidth="1"/>
    <col min="4110" max="4110" width="8.85546875" style="73" customWidth="1"/>
    <col min="4111" max="4111" width="10" style="73" customWidth="1"/>
    <col min="4112" max="4112" width="8.28515625" style="73" customWidth="1"/>
    <col min="4113" max="4113" width="9.5703125" style="73" customWidth="1"/>
    <col min="4114" max="4114" width="15.5703125" style="73" customWidth="1"/>
    <col min="4115" max="4346" width="9.140625" style="73"/>
    <col min="4347" max="4347" width="6.85546875" style="73" customWidth="1"/>
    <col min="4348" max="4348" width="2.140625" style="73" customWidth="1"/>
    <col min="4349" max="4349" width="6.140625" style="73" customWidth="1"/>
    <col min="4350" max="4350" width="8.85546875" style="73" customWidth="1"/>
    <col min="4351" max="4351" width="28.42578125" style="73" customWidth="1"/>
    <col min="4352" max="4352" width="13.85546875" style="73" customWidth="1"/>
    <col min="4353" max="4353" width="8.42578125" style="73" customWidth="1"/>
    <col min="4354" max="4357" width="0" style="73" hidden="1" customWidth="1"/>
    <col min="4358" max="4358" width="5.28515625" style="73" customWidth="1"/>
    <col min="4359" max="4359" width="5.5703125" style="73" customWidth="1"/>
    <col min="4360" max="4360" width="6" style="73" customWidth="1"/>
    <col min="4361" max="4361" width="5.5703125" style="73" customWidth="1"/>
    <col min="4362" max="4363" width="5.7109375" style="73" customWidth="1"/>
    <col min="4364" max="4364" width="9.85546875" style="73" customWidth="1"/>
    <col min="4365" max="4365" width="9.7109375" style="73" customWidth="1"/>
    <col min="4366" max="4366" width="8.85546875" style="73" customWidth="1"/>
    <col min="4367" max="4367" width="10" style="73" customWidth="1"/>
    <col min="4368" max="4368" width="8.28515625" style="73" customWidth="1"/>
    <col min="4369" max="4369" width="9.5703125" style="73" customWidth="1"/>
    <col min="4370" max="4370" width="15.5703125" style="73" customWidth="1"/>
    <col min="4371" max="4602" width="9.140625" style="73"/>
    <col min="4603" max="4603" width="6.85546875" style="73" customWidth="1"/>
    <col min="4604" max="4604" width="2.140625" style="73" customWidth="1"/>
    <col min="4605" max="4605" width="6.140625" style="73" customWidth="1"/>
    <col min="4606" max="4606" width="8.85546875" style="73" customWidth="1"/>
    <col min="4607" max="4607" width="28.42578125" style="73" customWidth="1"/>
    <col min="4608" max="4608" width="13.85546875" style="73" customWidth="1"/>
    <col min="4609" max="4609" width="8.42578125" style="73" customWidth="1"/>
    <col min="4610" max="4613" width="0" style="73" hidden="1" customWidth="1"/>
    <col min="4614" max="4614" width="5.28515625" style="73" customWidth="1"/>
    <col min="4615" max="4615" width="5.5703125" style="73" customWidth="1"/>
    <col min="4616" max="4616" width="6" style="73" customWidth="1"/>
    <col min="4617" max="4617" width="5.5703125" style="73" customWidth="1"/>
    <col min="4618" max="4619" width="5.7109375" style="73" customWidth="1"/>
    <col min="4620" max="4620" width="9.85546875" style="73" customWidth="1"/>
    <col min="4621" max="4621" width="9.7109375" style="73" customWidth="1"/>
    <col min="4622" max="4622" width="8.85546875" style="73" customWidth="1"/>
    <col min="4623" max="4623" width="10" style="73" customWidth="1"/>
    <col min="4624" max="4624" width="8.28515625" style="73" customWidth="1"/>
    <col min="4625" max="4625" width="9.5703125" style="73" customWidth="1"/>
    <col min="4626" max="4626" width="15.5703125" style="73" customWidth="1"/>
    <col min="4627" max="4858" width="9.140625" style="73"/>
    <col min="4859" max="4859" width="6.85546875" style="73" customWidth="1"/>
    <col min="4860" max="4860" width="2.140625" style="73" customWidth="1"/>
    <col min="4861" max="4861" width="6.140625" style="73" customWidth="1"/>
    <col min="4862" max="4862" width="8.85546875" style="73" customWidth="1"/>
    <col min="4863" max="4863" width="28.42578125" style="73" customWidth="1"/>
    <col min="4864" max="4864" width="13.85546875" style="73" customWidth="1"/>
    <col min="4865" max="4865" width="8.42578125" style="73" customWidth="1"/>
    <col min="4866" max="4869" width="0" style="73" hidden="1" customWidth="1"/>
    <col min="4870" max="4870" width="5.28515625" style="73" customWidth="1"/>
    <col min="4871" max="4871" width="5.5703125" style="73" customWidth="1"/>
    <col min="4872" max="4872" width="6" style="73" customWidth="1"/>
    <col min="4873" max="4873" width="5.5703125" style="73" customWidth="1"/>
    <col min="4874" max="4875" width="5.7109375" style="73" customWidth="1"/>
    <col min="4876" max="4876" width="9.85546875" style="73" customWidth="1"/>
    <col min="4877" max="4877" width="9.7109375" style="73" customWidth="1"/>
    <col min="4878" max="4878" width="8.85546875" style="73" customWidth="1"/>
    <col min="4879" max="4879" width="10" style="73" customWidth="1"/>
    <col min="4880" max="4880" width="8.28515625" style="73" customWidth="1"/>
    <col min="4881" max="4881" width="9.5703125" style="73" customWidth="1"/>
    <col min="4882" max="4882" width="15.5703125" style="73" customWidth="1"/>
    <col min="4883" max="5114" width="9.140625" style="73"/>
    <col min="5115" max="5115" width="6.85546875" style="73" customWidth="1"/>
    <col min="5116" max="5116" width="2.140625" style="73" customWidth="1"/>
    <col min="5117" max="5117" width="6.140625" style="73" customWidth="1"/>
    <col min="5118" max="5118" width="8.85546875" style="73" customWidth="1"/>
    <col min="5119" max="5119" width="28.42578125" style="73" customWidth="1"/>
    <col min="5120" max="5120" width="13.85546875" style="73" customWidth="1"/>
    <col min="5121" max="5121" width="8.42578125" style="73" customWidth="1"/>
    <col min="5122" max="5125" width="0" style="73" hidden="1" customWidth="1"/>
    <col min="5126" max="5126" width="5.28515625" style="73" customWidth="1"/>
    <col min="5127" max="5127" width="5.5703125" style="73" customWidth="1"/>
    <col min="5128" max="5128" width="6" style="73" customWidth="1"/>
    <col min="5129" max="5129" width="5.5703125" style="73" customWidth="1"/>
    <col min="5130" max="5131" width="5.7109375" style="73" customWidth="1"/>
    <col min="5132" max="5132" width="9.85546875" style="73" customWidth="1"/>
    <col min="5133" max="5133" width="9.7109375" style="73" customWidth="1"/>
    <col min="5134" max="5134" width="8.85546875" style="73" customWidth="1"/>
    <col min="5135" max="5135" width="10" style="73" customWidth="1"/>
    <col min="5136" max="5136" width="8.28515625" style="73" customWidth="1"/>
    <col min="5137" max="5137" width="9.5703125" style="73" customWidth="1"/>
    <col min="5138" max="5138" width="15.5703125" style="73" customWidth="1"/>
    <col min="5139" max="5370" width="9.140625" style="73"/>
    <col min="5371" max="5371" width="6.85546875" style="73" customWidth="1"/>
    <col min="5372" max="5372" width="2.140625" style="73" customWidth="1"/>
    <col min="5373" max="5373" width="6.140625" style="73" customWidth="1"/>
    <col min="5374" max="5374" width="8.85546875" style="73" customWidth="1"/>
    <col min="5375" max="5375" width="28.42578125" style="73" customWidth="1"/>
    <col min="5376" max="5376" width="13.85546875" style="73" customWidth="1"/>
    <col min="5377" max="5377" width="8.42578125" style="73" customWidth="1"/>
    <col min="5378" max="5381" width="0" style="73" hidden="1" customWidth="1"/>
    <col min="5382" max="5382" width="5.28515625" style="73" customWidth="1"/>
    <col min="5383" max="5383" width="5.5703125" style="73" customWidth="1"/>
    <col min="5384" max="5384" width="6" style="73" customWidth="1"/>
    <col min="5385" max="5385" width="5.5703125" style="73" customWidth="1"/>
    <col min="5386" max="5387" width="5.7109375" style="73" customWidth="1"/>
    <col min="5388" max="5388" width="9.85546875" style="73" customWidth="1"/>
    <col min="5389" max="5389" width="9.7109375" style="73" customWidth="1"/>
    <col min="5390" max="5390" width="8.85546875" style="73" customWidth="1"/>
    <col min="5391" max="5391" width="10" style="73" customWidth="1"/>
    <col min="5392" max="5392" width="8.28515625" style="73" customWidth="1"/>
    <col min="5393" max="5393" width="9.5703125" style="73" customWidth="1"/>
    <col min="5394" max="5394" width="15.5703125" style="73" customWidth="1"/>
    <col min="5395" max="5626" width="9.140625" style="73"/>
    <col min="5627" max="5627" width="6.85546875" style="73" customWidth="1"/>
    <col min="5628" max="5628" width="2.140625" style="73" customWidth="1"/>
    <col min="5629" max="5629" width="6.140625" style="73" customWidth="1"/>
    <col min="5630" max="5630" width="8.85546875" style="73" customWidth="1"/>
    <col min="5631" max="5631" width="28.42578125" style="73" customWidth="1"/>
    <col min="5632" max="5632" width="13.85546875" style="73" customWidth="1"/>
    <col min="5633" max="5633" width="8.42578125" style="73" customWidth="1"/>
    <col min="5634" max="5637" width="0" style="73" hidden="1" customWidth="1"/>
    <col min="5638" max="5638" width="5.28515625" style="73" customWidth="1"/>
    <col min="5639" max="5639" width="5.5703125" style="73" customWidth="1"/>
    <col min="5640" max="5640" width="6" style="73" customWidth="1"/>
    <col min="5641" max="5641" width="5.5703125" style="73" customWidth="1"/>
    <col min="5642" max="5643" width="5.7109375" style="73" customWidth="1"/>
    <col min="5644" max="5644" width="9.85546875" style="73" customWidth="1"/>
    <col min="5645" max="5645" width="9.7109375" style="73" customWidth="1"/>
    <col min="5646" max="5646" width="8.85546875" style="73" customWidth="1"/>
    <col min="5647" max="5647" width="10" style="73" customWidth="1"/>
    <col min="5648" max="5648" width="8.28515625" style="73" customWidth="1"/>
    <col min="5649" max="5649" width="9.5703125" style="73" customWidth="1"/>
    <col min="5650" max="5650" width="15.5703125" style="73" customWidth="1"/>
    <col min="5651" max="5882" width="9.140625" style="73"/>
    <col min="5883" max="5883" width="6.85546875" style="73" customWidth="1"/>
    <col min="5884" max="5884" width="2.140625" style="73" customWidth="1"/>
    <col min="5885" max="5885" width="6.140625" style="73" customWidth="1"/>
    <col min="5886" max="5886" width="8.85546875" style="73" customWidth="1"/>
    <col min="5887" max="5887" width="28.42578125" style="73" customWidth="1"/>
    <col min="5888" max="5888" width="13.85546875" style="73" customWidth="1"/>
    <col min="5889" max="5889" width="8.42578125" style="73" customWidth="1"/>
    <col min="5890" max="5893" width="0" style="73" hidden="1" customWidth="1"/>
    <col min="5894" max="5894" width="5.28515625" style="73" customWidth="1"/>
    <col min="5895" max="5895" width="5.5703125" style="73" customWidth="1"/>
    <col min="5896" max="5896" width="6" style="73" customWidth="1"/>
    <col min="5897" max="5897" width="5.5703125" style="73" customWidth="1"/>
    <col min="5898" max="5899" width="5.7109375" style="73" customWidth="1"/>
    <col min="5900" max="5900" width="9.85546875" style="73" customWidth="1"/>
    <col min="5901" max="5901" width="9.7109375" style="73" customWidth="1"/>
    <col min="5902" max="5902" width="8.85546875" style="73" customWidth="1"/>
    <col min="5903" max="5903" width="10" style="73" customWidth="1"/>
    <col min="5904" max="5904" width="8.28515625" style="73" customWidth="1"/>
    <col min="5905" max="5905" width="9.5703125" style="73" customWidth="1"/>
    <col min="5906" max="5906" width="15.5703125" style="73" customWidth="1"/>
    <col min="5907" max="6138" width="9.140625" style="73"/>
    <col min="6139" max="6139" width="6.85546875" style="73" customWidth="1"/>
    <col min="6140" max="6140" width="2.140625" style="73" customWidth="1"/>
    <col min="6141" max="6141" width="6.140625" style="73" customWidth="1"/>
    <col min="6142" max="6142" width="8.85546875" style="73" customWidth="1"/>
    <col min="6143" max="6143" width="28.42578125" style="73" customWidth="1"/>
    <col min="6144" max="6144" width="13.85546875" style="73" customWidth="1"/>
    <col min="6145" max="6145" width="8.42578125" style="73" customWidth="1"/>
    <col min="6146" max="6149" width="0" style="73" hidden="1" customWidth="1"/>
    <col min="6150" max="6150" width="5.28515625" style="73" customWidth="1"/>
    <col min="6151" max="6151" width="5.5703125" style="73" customWidth="1"/>
    <col min="6152" max="6152" width="6" style="73" customWidth="1"/>
    <col min="6153" max="6153" width="5.5703125" style="73" customWidth="1"/>
    <col min="6154" max="6155" width="5.7109375" style="73" customWidth="1"/>
    <col min="6156" max="6156" width="9.85546875" style="73" customWidth="1"/>
    <col min="6157" max="6157" width="9.7109375" style="73" customWidth="1"/>
    <col min="6158" max="6158" width="8.85546875" style="73" customWidth="1"/>
    <col min="6159" max="6159" width="10" style="73" customWidth="1"/>
    <col min="6160" max="6160" width="8.28515625" style="73" customWidth="1"/>
    <col min="6161" max="6161" width="9.5703125" style="73" customWidth="1"/>
    <col min="6162" max="6162" width="15.5703125" style="73" customWidth="1"/>
    <col min="6163" max="6394" width="9.140625" style="73"/>
    <col min="6395" max="6395" width="6.85546875" style="73" customWidth="1"/>
    <col min="6396" max="6396" width="2.140625" style="73" customWidth="1"/>
    <col min="6397" max="6397" width="6.140625" style="73" customWidth="1"/>
    <col min="6398" max="6398" width="8.85546875" style="73" customWidth="1"/>
    <col min="6399" max="6399" width="28.42578125" style="73" customWidth="1"/>
    <col min="6400" max="6400" width="13.85546875" style="73" customWidth="1"/>
    <col min="6401" max="6401" width="8.42578125" style="73" customWidth="1"/>
    <col min="6402" max="6405" width="0" style="73" hidden="1" customWidth="1"/>
    <col min="6406" max="6406" width="5.28515625" style="73" customWidth="1"/>
    <col min="6407" max="6407" width="5.5703125" style="73" customWidth="1"/>
    <col min="6408" max="6408" width="6" style="73" customWidth="1"/>
    <col min="6409" max="6409" width="5.5703125" style="73" customWidth="1"/>
    <col min="6410" max="6411" width="5.7109375" style="73" customWidth="1"/>
    <col min="6412" max="6412" width="9.85546875" style="73" customWidth="1"/>
    <col min="6413" max="6413" width="9.7109375" style="73" customWidth="1"/>
    <col min="6414" max="6414" width="8.85546875" style="73" customWidth="1"/>
    <col min="6415" max="6415" width="10" style="73" customWidth="1"/>
    <col min="6416" max="6416" width="8.28515625" style="73" customWidth="1"/>
    <col min="6417" max="6417" width="9.5703125" style="73" customWidth="1"/>
    <col min="6418" max="6418" width="15.5703125" style="73" customWidth="1"/>
    <col min="6419" max="6650" width="9.140625" style="73"/>
    <col min="6651" max="6651" width="6.85546875" style="73" customWidth="1"/>
    <col min="6652" max="6652" width="2.140625" style="73" customWidth="1"/>
    <col min="6653" max="6653" width="6.140625" style="73" customWidth="1"/>
    <col min="6654" max="6654" width="8.85546875" style="73" customWidth="1"/>
    <col min="6655" max="6655" width="28.42578125" style="73" customWidth="1"/>
    <col min="6656" max="6656" width="13.85546875" style="73" customWidth="1"/>
    <col min="6657" max="6657" width="8.42578125" style="73" customWidth="1"/>
    <col min="6658" max="6661" width="0" style="73" hidden="1" customWidth="1"/>
    <col min="6662" max="6662" width="5.28515625" style="73" customWidth="1"/>
    <col min="6663" max="6663" width="5.5703125" style="73" customWidth="1"/>
    <col min="6664" max="6664" width="6" style="73" customWidth="1"/>
    <col min="6665" max="6665" width="5.5703125" style="73" customWidth="1"/>
    <col min="6666" max="6667" width="5.7109375" style="73" customWidth="1"/>
    <col min="6668" max="6668" width="9.85546875" style="73" customWidth="1"/>
    <col min="6669" max="6669" width="9.7109375" style="73" customWidth="1"/>
    <col min="6670" max="6670" width="8.85546875" style="73" customWidth="1"/>
    <col min="6671" max="6671" width="10" style="73" customWidth="1"/>
    <col min="6672" max="6672" width="8.28515625" style="73" customWidth="1"/>
    <col min="6673" max="6673" width="9.5703125" style="73" customWidth="1"/>
    <col min="6674" max="6674" width="15.5703125" style="73" customWidth="1"/>
    <col min="6675" max="6906" width="9.140625" style="73"/>
    <col min="6907" max="6907" width="6.85546875" style="73" customWidth="1"/>
    <col min="6908" max="6908" width="2.140625" style="73" customWidth="1"/>
    <col min="6909" max="6909" width="6.140625" style="73" customWidth="1"/>
    <col min="6910" max="6910" width="8.85546875" style="73" customWidth="1"/>
    <col min="6911" max="6911" width="28.42578125" style="73" customWidth="1"/>
    <col min="6912" max="6912" width="13.85546875" style="73" customWidth="1"/>
    <col min="6913" max="6913" width="8.42578125" style="73" customWidth="1"/>
    <col min="6914" max="6917" width="0" style="73" hidden="1" customWidth="1"/>
    <col min="6918" max="6918" width="5.28515625" style="73" customWidth="1"/>
    <col min="6919" max="6919" width="5.5703125" style="73" customWidth="1"/>
    <col min="6920" max="6920" width="6" style="73" customWidth="1"/>
    <col min="6921" max="6921" width="5.5703125" style="73" customWidth="1"/>
    <col min="6922" max="6923" width="5.7109375" style="73" customWidth="1"/>
    <col min="6924" max="6924" width="9.85546875" style="73" customWidth="1"/>
    <col min="6925" max="6925" width="9.7109375" style="73" customWidth="1"/>
    <col min="6926" max="6926" width="8.85546875" style="73" customWidth="1"/>
    <col min="6927" max="6927" width="10" style="73" customWidth="1"/>
    <col min="6928" max="6928" width="8.28515625" style="73" customWidth="1"/>
    <col min="6929" max="6929" width="9.5703125" style="73" customWidth="1"/>
    <col min="6930" max="6930" width="15.5703125" style="73" customWidth="1"/>
    <col min="6931" max="7162" width="9.140625" style="73"/>
    <col min="7163" max="7163" width="6.85546875" style="73" customWidth="1"/>
    <col min="7164" max="7164" width="2.140625" style="73" customWidth="1"/>
    <col min="7165" max="7165" width="6.140625" style="73" customWidth="1"/>
    <col min="7166" max="7166" width="8.85546875" style="73" customWidth="1"/>
    <col min="7167" max="7167" width="28.42578125" style="73" customWidth="1"/>
    <col min="7168" max="7168" width="13.85546875" style="73" customWidth="1"/>
    <col min="7169" max="7169" width="8.42578125" style="73" customWidth="1"/>
    <col min="7170" max="7173" width="0" style="73" hidden="1" customWidth="1"/>
    <col min="7174" max="7174" width="5.28515625" style="73" customWidth="1"/>
    <col min="7175" max="7175" width="5.5703125" style="73" customWidth="1"/>
    <col min="7176" max="7176" width="6" style="73" customWidth="1"/>
    <col min="7177" max="7177" width="5.5703125" style="73" customWidth="1"/>
    <col min="7178" max="7179" width="5.7109375" style="73" customWidth="1"/>
    <col min="7180" max="7180" width="9.85546875" style="73" customWidth="1"/>
    <col min="7181" max="7181" width="9.7109375" style="73" customWidth="1"/>
    <col min="7182" max="7182" width="8.85546875" style="73" customWidth="1"/>
    <col min="7183" max="7183" width="10" style="73" customWidth="1"/>
    <col min="7184" max="7184" width="8.28515625" style="73" customWidth="1"/>
    <col min="7185" max="7185" width="9.5703125" style="73" customWidth="1"/>
    <col min="7186" max="7186" width="15.5703125" style="73" customWidth="1"/>
    <col min="7187" max="7418" width="9.140625" style="73"/>
    <col min="7419" max="7419" width="6.85546875" style="73" customWidth="1"/>
    <col min="7420" max="7420" width="2.140625" style="73" customWidth="1"/>
    <col min="7421" max="7421" width="6.140625" style="73" customWidth="1"/>
    <col min="7422" max="7422" width="8.85546875" style="73" customWidth="1"/>
    <col min="7423" max="7423" width="28.42578125" style="73" customWidth="1"/>
    <col min="7424" max="7424" width="13.85546875" style="73" customWidth="1"/>
    <col min="7425" max="7425" width="8.42578125" style="73" customWidth="1"/>
    <col min="7426" max="7429" width="0" style="73" hidden="1" customWidth="1"/>
    <col min="7430" max="7430" width="5.28515625" style="73" customWidth="1"/>
    <col min="7431" max="7431" width="5.5703125" style="73" customWidth="1"/>
    <col min="7432" max="7432" width="6" style="73" customWidth="1"/>
    <col min="7433" max="7433" width="5.5703125" style="73" customWidth="1"/>
    <col min="7434" max="7435" width="5.7109375" style="73" customWidth="1"/>
    <col min="7436" max="7436" width="9.85546875" style="73" customWidth="1"/>
    <col min="7437" max="7437" width="9.7109375" style="73" customWidth="1"/>
    <col min="7438" max="7438" width="8.85546875" style="73" customWidth="1"/>
    <col min="7439" max="7439" width="10" style="73" customWidth="1"/>
    <col min="7440" max="7440" width="8.28515625" style="73" customWidth="1"/>
    <col min="7441" max="7441" width="9.5703125" style="73" customWidth="1"/>
    <col min="7442" max="7442" width="15.5703125" style="73" customWidth="1"/>
    <col min="7443" max="7674" width="9.140625" style="73"/>
    <col min="7675" max="7675" width="6.85546875" style="73" customWidth="1"/>
    <col min="7676" max="7676" width="2.140625" style="73" customWidth="1"/>
    <col min="7677" max="7677" width="6.140625" style="73" customWidth="1"/>
    <col min="7678" max="7678" width="8.85546875" style="73" customWidth="1"/>
    <col min="7679" max="7679" width="28.42578125" style="73" customWidth="1"/>
    <col min="7680" max="7680" width="13.85546875" style="73" customWidth="1"/>
    <col min="7681" max="7681" width="8.42578125" style="73" customWidth="1"/>
    <col min="7682" max="7685" width="0" style="73" hidden="1" customWidth="1"/>
    <col min="7686" max="7686" width="5.28515625" style="73" customWidth="1"/>
    <col min="7687" max="7687" width="5.5703125" style="73" customWidth="1"/>
    <col min="7688" max="7688" width="6" style="73" customWidth="1"/>
    <col min="7689" max="7689" width="5.5703125" style="73" customWidth="1"/>
    <col min="7690" max="7691" width="5.7109375" style="73" customWidth="1"/>
    <col min="7692" max="7692" width="9.85546875" style="73" customWidth="1"/>
    <col min="7693" max="7693" width="9.7109375" style="73" customWidth="1"/>
    <col min="7694" max="7694" width="8.85546875" style="73" customWidth="1"/>
    <col min="7695" max="7695" width="10" style="73" customWidth="1"/>
    <col min="7696" max="7696" width="8.28515625" style="73" customWidth="1"/>
    <col min="7697" max="7697" width="9.5703125" style="73" customWidth="1"/>
    <col min="7698" max="7698" width="15.5703125" style="73" customWidth="1"/>
    <col min="7699" max="7930" width="9.140625" style="73"/>
    <col min="7931" max="7931" width="6.85546875" style="73" customWidth="1"/>
    <col min="7932" max="7932" width="2.140625" style="73" customWidth="1"/>
    <col min="7933" max="7933" width="6.140625" style="73" customWidth="1"/>
    <col min="7934" max="7934" width="8.85546875" style="73" customWidth="1"/>
    <col min="7935" max="7935" width="28.42578125" style="73" customWidth="1"/>
    <col min="7936" max="7936" width="13.85546875" style="73" customWidth="1"/>
    <col min="7937" max="7937" width="8.42578125" style="73" customWidth="1"/>
    <col min="7938" max="7941" width="0" style="73" hidden="1" customWidth="1"/>
    <col min="7942" max="7942" width="5.28515625" style="73" customWidth="1"/>
    <col min="7943" max="7943" width="5.5703125" style="73" customWidth="1"/>
    <col min="7944" max="7944" width="6" style="73" customWidth="1"/>
    <col min="7945" max="7945" width="5.5703125" style="73" customWidth="1"/>
    <col min="7946" max="7947" width="5.7109375" style="73" customWidth="1"/>
    <col min="7948" max="7948" width="9.85546875" style="73" customWidth="1"/>
    <col min="7949" max="7949" width="9.7109375" style="73" customWidth="1"/>
    <col min="7950" max="7950" width="8.85546875" style="73" customWidth="1"/>
    <col min="7951" max="7951" width="10" style="73" customWidth="1"/>
    <col min="7952" max="7952" width="8.28515625" style="73" customWidth="1"/>
    <col min="7953" max="7953" width="9.5703125" style="73" customWidth="1"/>
    <col min="7954" max="7954" width="15.5703125" style="73" customWidth="1"/>
    <col min="7955" max="8186" width="9.140625" style="73"/>
    <col min="8187" max="8187" width="6.85546875" style="73" customWidth="1"/>
    <col min="8188" max="8188" width="2.140625" style="73" customWidth="1"/>
    <col min="8189" max="8189" width="6.140625" style="73" customWidth="1"/>
    <col min="8190" max="8190" width="8.85546875" style="73" customWidth="1"/>
    <col min="8191" max="8191" width="28.42578125" style="73" customWidth="1"/>
    <col min="8192" max="8192" width="13.85546875" style="73" customWidth="1"/>
    <col min="8193" max="8193" width="8.42578125" style="73" customWidth="1"/>
    <col min="8194" max="8197" width="0" style="73" hidden="1" customWidth="1"/>
    <col min="8198" max="8198" width="5.28515625" style="73" customWidth="1"/>
    <col min="8199" max="8199" width="5.5703125" style="73" customWidth="1"/>
    <col min="8200" max="8200" width="6" style="73" customWidth="1"/>
    <col min="8201" max="8201" width="5.5703125" style="73" customWidth="1"/>
    <col min="8202" max="8203" width="5.7109375" style="73" customWidth="1"/>
    <col min="8204" max="8204" width="9.85546875" style="73" customWidth="1"/>
    <col min="8205" max="8205" width="9.7109375" style="73" customWidth="1"/>
    <col min="8206" max="8206" width="8.85546875" style="73" customWidth="1"/>
    <col min="8207" max="8207" width="10" style="73" customWidth="1"/>
    <col min="8208" max="8208" width="8.28515625" style="73" customWidth="1"/>
    <col min="8209" max="8209" width="9.5703125" style="73" customWidth="1"/>
    <col min="8210" max="8210" width="15.5703125" style="73" customWidth="1"/>
    <col min="8211" max="8442" width="9.140625" style="73"/>
    <col min="8443" max="8443" width="6.85546875" style="73" customWidth="1"/>
    <col min="8444" max="8444" width="2.140625" style="73" customWidth="1"/>
    <col min="8445" max="8445" width="6.140625" style="73" customWidth="1"/>
    <col min="8446" max="8446" width="8.85546875" style="73" customWidth="1"/>
    <col min="8447" max="8447" width="28.42578125" style="73" customWidth="1"/>
    <col min="8448" max="8448" width="13.85546875" style="73" customWidth="1"/>
    <col min="8449" max="8449" width="8.42578125" style="73" customWidth="1"/>
    <col min="8450" max="8453" width="0" style="73" hidden="1" customWidth="1"/>
    <col min="8454" max="8454" width="5.28515625" style="73" customWidth="1"/>
    <col min="8455" max="8455" width="5.5703125" style="73" customWidth="1"/>
    <col min="8456" max="8456" width="6" style="73" customWidth="1"/>
    <col min="8457" max="8457" width="5.5703125" style="73" customWidth="1"/>
    <col min="8458" max="8459" width="5.7109375" style="73" customWidth="1"/>
    <col min="8460" max="8460" width="9.85546875" style="73" customWidth="1"/>
    <col min="8461" max="8461" width="9.7109375" style="73" customWidth="1"/>
    <col min="8462" max="8462" width="8.85546875" style="73" customWidth="1"/>
    <col min="8463" max="8463" width="10" style="73" customWidth="1"/>
    <col min="8464" max="8464" width="8.28515625" style="73" customWidth="1"/>
    <col min="8465" max="8465" width="9.5703125" style="73" customWidth="1"/>
    <col min="8466" max="8466" width="15.5703125" style="73" customWidth="1"/>
    <col min="8467" max="8698" width="9.140625" style="73"/>
    <col min="8699" max="8699" width="6.85546875" style="73" customWidth="1"/>
    <col min="8700" max="8700" width="2.140625" style="73" customWidth="1"/>
    <col min="8701" max="8701" width="6.140625" style="73" customWidth="1"/>
    <col min="8702" max="8702" width="8.85546875" style="73" customWidth="1"/>
    <col min="8703" max="8703" width="28.42578125" style="73" customWidth="1"/>
    <col min="8704" max="8704" width="13.85546875" style="73" customWidth="1"/>
    <col min="8705" max="8705" width="8.42578125" style="73" customWidth="1"/>
    <col min="8706" max="8709" width="0" style="73" hidden="1" customWidth="1"/>
    <col min="8710" max="8710" width="5.28515625" style="73" customWidth="1"/>
    <col min="8711" max="8711" width="5.5703125" style="73" customWidth="1"/>
    <col min="8712" max="8712" width="6" style="73" customWidth="1"/>
    <col min="8713" max="8713" width="5.5703125" style="73" customWidth="1"/>
    <col min="8714" max="8715" width="5.7109375" style="73" customWidth="1"/>
    <col min="8716" max="8716" width="9.85546875" style="73" customWidth="1"/>
    <col min="8717" max="8717" width="9.7109375" style="73" customWidth="1"/>
    <col min="8718" max="8718" width="8.85546875" style="73" customWidth="1"/>
    <col min="8719" max="8719" width="10" style="73" customWidth="1"/>
    <col min="8720" max="8720" width="8.28515625" style="73" customWidth="1"/>
    <col min="8721" max="8721" width="9.5703125" style="73" customWidth="1"/>
    <col min="8722" max="8722" width="15.5703125" style="73" customWidth="1"/>
    <col min="8723" max="8954" width="9.140625" style="73"/>
    <col min="8955" max="8955" width="6.85546875" style="73" customWidth="1"/>
    <col min="8956" max="8956" width="2.140625" style="73" customWidth="1"/>
    <col min="8957" max="8957" width="6.140625" style="73" customWidth="1"/>
    <col min="8958" max="8958" width="8.85546875" style="73" customWidth="1"/>
    <col min="8959" max="8959" width="28.42578125" style="73" customWidth="1"/>
    <col min="8960" max="8960" width="13.85546875" style="73" customWidth="1"/>
    <col min="8961" max="8961" width="8.42578125" style="73" customWidth="1"/>
    <col min="8962" max="8965" width="0" style="73" hidden="1" customWidth="1"/>
    <col min="8966" max="8966" width="5.28515625" style="73" customWidth="1"/>
    <col min="8967" max="8967" width="5.5703125" style="73" customWidth="1"/>
    <col min="8968" max="8968" width="6" style="73" customWidth="1"/>
    <col min="8969" max="8969" width="5.5703125" style="73" customWidth="1"/>
    <col min="8970" max="8971" width="5.7109375" style="73" customWidth="1"/>
    <col min="8972" max="8972" width="9.85546875" style="73" customWidth="1"/>
    <col min="8973" max="8973" width="9.7109375" style="73" customWidth="1"/>
    <col min="8974" max="8974" width="8.85546875" style="73" customWidth="1"/>
    <col min="8975" max="8975" width="10" style="73" customWidth="1"/>
    <col min="8976" max="8976" width="8.28515625" style="73" customWidth="1"/>
    <col min="8977" max="8977" width="9.5703125" style="73" customWidth="1"/>
    <col min="8978" max="8978" width="15.5703125" style="73" customWidth="1"/>
    <col min="8979" max="9210" width="9.140625" style="73"/>
    <col min="9211" max="9211" width="6.85546875" style="73" customWidth="1"/>
    <col min="9212" max="9212" width="2.140625" style="73" customWidth="1"/>
    <col min="9213" max="9213" width="6.140625" style="73" customWidth="1"/>
    <col min="9214" max="9214" width="8.85546875" style="73" customWidth="1"/>
    <col min="9215" max="9215" width="28.42578125" style="73" customWidth="1"/>
    <col min="9216" max="9216" width="13.85546875" style="73" customWidth="1"/>
    <col min="9217" max="9217" width="8.42578125" style="73" customWidth="1"/>
    <col min="9218" max="9221" width="0" style="73" hidden="1" customWidth="1"/>
    <col min="9222" max="9222" width="5.28515625" style="73" customWidth="1"/>
    <col min="9223" max="9223" width="5.5703125" style="73" customWidth="1"/>
    <col min="9224" max="9224" width="6" style="73" customWidth="1"/>
    <col min="9225" max="9225" width="5.5703125" style="73" customWidth="1"/>
    <col min="9226" max="9227" width="5.7109375" style="73" customWidth="1"/>
    <col min="9228" max="9228" width="9.85546875" style="73" customWidth="1"/>
    <col min="9229" max="9229" width="9.7109375" style="73" customWidth="1"/>
    <col min="9230" max="9230" width="8.85546875" style="73" customWidth="1"/>
    <col min="9231" max="9231" width="10" style="73" customWidth="1"/>
    <col min="9232" max="9232" width="8.28515625" style="73" customWidth="1"/>
    <col min="9233" max="9233" width="9.5703125" style="73" customWidth="1"/>
    <col min="9234" max="9234" width="15.5703125" style="73" customWidth="1"/>
    <col min="9235" max="9466" width="9.140625" style="73"/>
    <col min="9467" max="9467" width="6.85546875" style="73" customWidth="1"/>
    <col min="9468" max="9468" width="2.140625" style="73" customWidth="1"/>
    <col min="9469" max="9469" width="6.140625" style="73" customWidth="1"/>
    <col min="9470" max="9470" width="8.85546875" style="73" customWidth="1"/>
    <col min="9471" max="9471" width="28.42578125" style="73" customWidth="1"/>
    <col min="9472" max="9472" width="13.85546875" style="73" customWidth="1"/>
    <col min="9473" max="9473" width="8.42578125" style="73" customWidth="1"/>
    <col min="9474" max="9477" width="0" style="73" hidden="1" customWidth="1"/>
    <col min="9478" max="9478" width="5.28515625" style="73" customWidth="1"/>
    <col min="9479" max="9479" width="5.5703125" style="73" customWidth="1"/>
    <col min="9480" max="9480" width="6" style="73" customWidth="1"/>
    <col min="9481" max="9481" width="5.5703125" style="73" customWidth="1"/>
    <col min="9482" max="9483" width="5.7109375" style="73" customWidth="1"/>
    <col min="9484" max="9484" width="9.85546875" style="73" customWidth="1"/>
    <col min="9485" max="9485" width="9.7109375" style="73" customWidth="1"/>
    <col min="9486" max="9486" width="8.85546875" style="73" customWidth="1"/>
    <col min="9487" max="9487" width="10" style="73" customWidth="1"/>
    <col min="9488" max="9488" width="8.28515625" style="73" customWidth="1"/>
    <col min="9489" max="9489" width="9.5703125" style="73" customWidth="1"/>
    <col min="9490" max="9490" width="15.5703125" style="73" customWidth="1"/>
    <col min="9491" max="9722" width="9.140625" style="73"/>
    <col min="9723" max="9723" width="6.85546875" style="73" customWidth="1"/>
    <col min="9724" max="9724" width="2.140625" style="73" customWidth="1"/>
    <col min="9725" max="9725" width="6.140625" style="73" customWidth="1"/>
    <col min="9726" max="9726" width="8.85546875" style="73" customWidth="1"/>
    <col min="9727" max="9727" width="28.42578125" style="73" customWidth="1"/>
    <col min="9728" max="9728" width="13.85546875" style="73" customWidth="1"/>
    <col min="9729" max="9729" width="8.42578125" style="73" customWidth="1"/>
    <col min="9730" max="9733" width="0" style="73" hidden="1" customWidth="1"/>
    <col min="9734" max="9734" width="5.28515625" style="73" customWidth="1"/>
    <col min="9735" max="9735" width="5.5703125" style="73" customWidth="1"/>
    <col min="9736" max="9736" width="6" style="73" customWidth="1"/>
    <col min="9737" max="9737" width="5.5703125" style="73" customWidth="1"/>
    <col min="9738" max="9739" width="5.7109375" style="73" customWidth="1"/>
    <col min="9740" max="9740" width="9.85546875" style="73" customWidth="1"/>
    <col min="9741" max="9741" width="9.7109375" style="73" customWidth="1"/>
    <col min="9742" max="9742" width="8.85546875" style="73" customWidth="1"/>
    <col min="9743" max="9743" width="10" style="73" customWidth="1"/>
    <col min="9744" max="9744" width="8.28515625" style="73" customWidth="1"/>
    <col min="9745" max="9745" width="9.5703125" style="73" customWidth="1"/>
    <col min="9746" max="9746" width="15.5703125" style="73" customWidth="1"/>
    <col min="9747" max="9978" width="9.140625" style="73"/>
    <col min="9979" max="9979" width="6.85546875" style="73" customWidth="1"/>
    <col min="9980" max="9980" width="2.140625" style="73" customWidth="1"/>
    <col min="9981" max="9981" width="6.140625" style="73" customWidth="1"/>
    <col min="9982" max="9982" width="8.85546875" style="73" customWidth="1"/>
    <col min="9983" max="9983" width="28.42578125" style="73" customWidth="1"/>
    <col min="9984" max="9984" width="13.85546875" style="73" customWidth="1"/>
    <col min="9985" max="9985" width="8.42578125" style="73" customWidth="1"/>
    <col min="9986" max="9989" width="0" style="73" hidden="1" customWidth="1"/>
    <col min="9990" max="9990" width="5.28515625" style="73" customWidth="1"/>
    <col min="9991" max="9991" width="5.5703125" style="73" customWidth="1"/>
    <col min="9992" max="9992" width="6" style="73" customWidth="1"/>
    <col min="9993" max="9993" width="5.5703125" style="73" customWidth="1"/>
    <col min="9994" max="9995" width="5.7109375" style="73" customWidth="1"/>
    <col min="9996" max="9996" width="9.85546875" style="73" customWidth="1"/>
    <col min="9997" max="9997" width="9.7109375" style="73" customWidth="1"/>
    <col min="9998" max="9998" width="8.85546875" style="73" customWidth="1"/>
    <col min="9999" max="9999" width="10" style="73" customWidth="1"/>
    <col min="10000" max="10000" width="8.28515625" style="73" customWidth="1"/>
    <col min="10001" max="10001" width="9.5703125" style="73" customWidth="1"/>
    <col min="10002" max="10002" width="15.5703125" style="73" customWidth="1"/>
    <col min="10003" max="10234" width="9.140625" style="73"/>
    <col min="10235" max="10235" width="6.85546875" style="73" customWidth="1"/>
    <col min="10236" max="10236" width="2.140625" style="73" customWidth="1"/>
    <col min="10237" max="10237" width="6.140625" style="73" customWidth="1"/>
    <col min="10238" max="10238" width="8.85546875" style="73" customWidth="1"/>
    <col min="10239" max="10239" width="28.42578125" style="73" customWidth="1"/>
    <col min="10240" max="10240" width="13.85546875" style="73" customWidth="1"/>
    <col min="10241" max="10241" width="8.42578125" style="73" customWidth="1"/>
    <col min="10242" max="10245" width="0" style="73" hidden="1" customWidth="1"/>
    <col min="10246" max="10246" width="5.28515625" style="73" customWidth="1"/>
    <col min="10247" max="10247" width="5.5703125" style="73" customWidth="1"/>
    <col min="10248" max="10248" width="6" style="73" customWidth="1"/>
    <col min="10249" max="10249" width="5.5703125" style="73" customWidth="1"/>
    <col min="10250" max="10251" width="5.7109375" style="73" customWidth="1"/>
    <col min="10252" max="10252" width="9.85546875" style="73" customWidth="1"/>
    <col min="10253" max="10253" width="9.7109375" style="73" customWidth="1"/>
    <col min="10254" max="10254" width="8.85546875" style="73" customWidth="1"/>
    <col min="10255" max="10255" width="10" style="73" customWidth="1"/>
    <col min="10256" max="10256" width="8.28515625" style="73" customWidth="1"/>
    <col min="10257" max="10257" width="9.5703125" style="73" customWidth="1"/>
    <col min="10258" max="10258" width="15.5703125" style="73" customWidth="1"/>
    <col min="10259" max="10490" width="9.140625" style="73"/>
    <col min="10491" max="10491" width="6.85546875" style="73" customWidth="1"/>
    <col min="10492" max="10492" width="2.140625" style="73" customWidth="1"/>
    <col min="10493" max="10493" width="6.140625" style="73" customWidth="1"/>
    <col min="10494" max="10494" width="8.85546875" style="73" customWidth="1"/>
    <col min="10495" max="10495" width="28.42578125" style="73" customWidth="1"/>
    <col min="10496" max="10496" width="13.85546875" style="73" customWidth="1"/>
    <col min="10497" max="10497" width="8.42578125" style="73" customWidth="1"/>
    <col min="10498" max="10501" width="0" style="73" hidden="1" customWidth="1"/>
    <col min="10502" max="10502" width="5.28515625" style="73" customWidth="1"/>
    <col min="10503" max="10503" width="5.5703125" style="73" customWidth="1"/>
    <col min="10504" max="10504" width="6" style="73" customWidth="1"/>
    <col min="10505" max="10505" width="5.5703125" style="73" customWidth="1"/>
    <col min="10506" max="10507" width="5.7109375" style="73" customWidth="1"/>
    <col min="10508" max="10508" width="9.85546875" style="73" customWidth="1"/>
    <col min="10509" max="10509" width="9.7109375" style="73" customWidth="1"/>
    <col min="10510" max="10510" width="8.85546875" style="73" customWidth="1"/>
    <col min="10511" max="10511" width="10" style="73" customWidth="1"/>
    <col min="10512" max="10512" width="8.28515625" style="73" customWidth="1"/>
    <col min="10513" max="10513" width="9.5703125" style="73" customWidth="1"/>
    <col min="10514" max="10514" width="15.5703125" style="73" customWidth="1"/>
    <col min="10515" max="10746" width="9.140625" style="73"/>
    <col min="10747" max="10747" width="6.85546875" style="73" customWidth="1"/>
    <col min="10748" max="10748" width="2.140625" style="73" customWidth="1"/>
    <col min="10749" max="10749" width="6.140625" style="73" customWidth="1"/>
    <col min="10750" max="10750" width="8.85546875" style="73" customWidth="1"/>
    <col min="10751" max="10751" width="28.42578125" style="73" customWidth="1"/>
    <col min="10752" max="10752" width="13.85546875" style="73" customWidth="1"/>
    <col min="10753" max="10753" width="8.42578125" style="73" customWidth="1"/>
    <col min="10754" max="10757" width="0" style="73" hidden="1" customWidth="1"/>
    <col min="10758" max="10758" width="5.28515625" style="73" customWidth="1"/>
    <col min="10759" max="10759" width="5.5703125" style="73" customWidth="1"/>
    <col min="10760" max="10760" width="6" style="73" customWidth="1"/>
    <col min="10761" max="10761" width="5.5703125" style="73" customWidth="1"/>
    <col min="10762" max="10763" width="5.7109375" style="73" customWidth="1"/>
    <col min="10764" max="10764" width="9.85546875" style="73" customWidth="1"/>
    <col min="10765" max="10765" width="9.7109375" style="73" customWidth="1"/>
    <col min="10766" max="10766" width="8.85546875" style="73" customWidth="1"/>
    <col min="10767" max="10767" width="10" style="73" customWidth="1"/>
    <col min="10768" max="10768" width="8.28515625" style="73" customWidth="1"/>
    <col min="10769" max="10769" width="9.5703125" style="73" customWidth="1"/>
    <col min="10770" max="10770" width="15.5703125" style="73" customWidth="1"/>
    <col min="10771" max="11002" width="9.140625" style="73"/>
    <col min="11003" max="11003" width="6.85546875" style="73" customWidth="1"/>
    <col min="11004" max="11004" width="2.140625" style="73" customWidth="1"/>
    <col min="11005" max="11005" width="6.140625" style="73" customWidth="1"/>
    <col min="11006" max="11006" width="8.85546875" style="73" customWidth="1"/>
    <col min="11007" max="11007" width="28.42578125" style="73" customWidth="1"/>
    <col min="11008" max="11008" width="13.85546875" style="73" customWidth="1"/>
    <col min="11009" max="11009" width="8.42578125" style="73" customWidth="1"/>
    <col min="11010" max="11013" width="0" style="73" hidden="1" customWidth="1"/>
    <col min="11014" max="11014" width="5.28515625" style="73" customWidth="1"/>
    <col min="11015" max="11015" width="5.5703125" style="73" customWidth="1"/>
    <col min="11016" max="11016" width="6" style="73" customWidth="1"/>
    <col min="11017" max="11017" width="5.5703125" style="73" customWidth="1"/>
    <col min="11018" max="11019" width="5.7109375" style="73" customWidth="1"/>
    <col min="11020" max="11020" width="9.85546875" style="73" customWidth="1"/>
    <col min="11021" max="11021" width="9.7109375" style="73" customWidth="1"/>
    <col min="11022" max="11022" width="8.85546875" style="73" customWidth="1"/>
    <col min="11023" max="11023" width="10" style="73" customWidth="1"/>
    <col min="11024" max="11024" width="8.28515625" style="73" customWidth="1"/>
    <col min="11025" max="11025" width="9.5703125" style="73" customWidth="1"/>
    <col min="11026" max="11026" width="15.5703125" style="73" customWidth="1"/>
    <col min="11027" max="11258" width="9.140625" style="73"/>
    <col min="11259" max="11259" width="6.85546875" style="73" customWidth="1"/>
    <col min="11260" max="11260" width="2.140625" style="73" customWidth="1"/>
    <col min="11261" max="11261" width="6.140625" style="73" customWidth="1"/>
    <col min="11262" max="11262" width="8.85546875" style="73" customWidth="1"/>
    <col min="11263" max="11263" width="28.42578125" style="73" customWidth="1"/>
    <col min="11264" max="11264" width="13.85546875" style="73" customWidth="1"/>
    <col min="11265" max="11265" width="8.42578125" style="73" customWidth="1"/>
    <col min="11266" max="11269" width="0" style="73" hidden="1" customWidth="1"/>
    <col min="11270" max="11270" width="5.28515625" style="73" customWidth="1"/>
    <col min="11271" max="11271" width="5.5703125" style="73" customWidth="1"/>
    <col min="11272" max="11272" width="6" style="73" customWidth="1"/>
    <col min="11273" max="11273" width="5.5703125" style="73" customWidth="1"/>
    <col min="11274" max="11275" width="5.7109375" style="73" customWidth="1"/>
    <col min="11276" max="11276" width="9.85546875" style="73" customWidth="1"/>
    <col min="11277" max="11277" width="9.7109375" style="73" customWidth="1"/>
    <col min="11278" max="11278" width="8.85546875" style="73" customWidth="1"/>
    <col min="11279" max="11279" width="10" style="73" customWidth="1"/>
    <col min="11280" max="11280" width="8.28515625" style="73" customWidth="1"/>
    <col min="11281" max="11281" width="9.5703125" style="73" customWidth="1"/>
    <col min="11282" max="11282" width="15.5703125" style="73" customWidth="1"/>
    <col min="11283" max="11514" width="9.140625" style="73"/>
    <col min="11515" max="11515" width="6.85546875" style="73" customWidth="1"/>
    <col min="11516" max="11516" width="2.140625" style="73" customWidth="1"/>
    <col min="11517" max="11517" width="6.140625" style="73" customWidth="1"/>
    <col min="11518" max="11518" width="8.85546875" style="73" customWidth="1"/>
    <col min="11519" max="11519" width="28.42578125" style="73" customWidth="1"/>
    <col min="11520" max="11520" width="13.85546875" style="73" customWidth="1"/>
    <col min="11521" max="11521" width="8.42578125" style="73" customWidth="1"/>
    <col min="11522" max="11525" width="0" style="73" hidden="1" customWidth="1"/>
    <col min="11526" max="11526" width="5.28515625" style="73" customWidth="1"/>
    <col min="11527" max="11527" width="5.5703125" style="73" customWidth="1"/>
    <col min="11528" max="11528" width="6" style="73" customWidth="1"/>
    <col min="11529" max="11529" width="5.5703125" style="73" customWidth="1"/>
    <col min="11530" max="11531" width="5.7109375" style="73" customWidth="1"/>
    <col min="11532" max="11532" width="9.85546875" style="73" customWidth="1"/>
    <col min="11533" max="11533" width="9.7109375" style="73" customWidth="1"/>
    <col min="11534" max="11534" width="8.85546875" style="73" customWidth="1"/>
    <col min="11535" max="11535" width="10" style="73" customWidth="1"/>
    <col min="11536" max="11536" width="8.28515625" style="73" customWidth="1"/>
    <col min="11537" max="11537" width="9.5703125" style="73" customWidth="1"/>
    <col min="11538" max="11538" width="15.5703125" style="73" customWidth="1"/>
    <col min="11539" max="11770" width="9.140625" style="73"/>
    <col min="11771" max="11771" width="6.85546875" style="73" customWidth="1"/>
    <col min="11772" max="11772" width="2.140625" style="73" customWidth="1"/>
    <col min="11773" max="11773" width="6.140625" style="73" customWidth="1"/>
    <col min="11774" max="11774" width="8.85546875" style="73" customWidth="1"/>
    <col min="11775" max="11775" width="28.42578125" style="73" customWidth="1"/>
    <col min="11776" max="11776" width="13.85546875" style="73" customWidth="1"/>
    <col min="11777" max="11777" width="8.42578125" style="73" customWidth="1"/>
    <col min="11778" max="11781" width="0" style="73" hidden="1" customWidth="1"/>
    <col min="11782" max="11782" width="5.28515625" style="73" customWidth="1"/>
    <col min="11783" max="11783" width="5.5703125" style="73" customWidth="1"/>
    <col min="11784" max="11784" width="6" style="73" customWidth="1"/>
    <col min="11785" max="11785" width="5.5703125" style="73" customWidth="1"/>
    <col min="11786" max="11787" width="5.7109375" style="73" customWidth="1"/>
    <col min="11788" max="11788" width="9.85546875" style="73" customWidth="1"/>
    <col min="11789" max="11789" width="9.7109375" style="73" customWidth="1"/>
    <col min="11790" max="11790" width="8.85546875" style="73" customWidth="1"/>
    <col min="11791" max="11791" width="10" style="73" customWidth="1"/>
    <col min="11792" max="11792" width="8.28515625" style="73" customWidth="1"/>
    <col min="11793" max="11793" width="9.5703125" style="73" customWidth="1"/>
    <col min="11794" max="11794" width="15.5703125" style="73" customWidth="1"/>
    <col min="11795" max="12026" width="9.140625" style="73"/>
    <col min="12027" max="12027" width="6.85546875" style="73" customWidth="1"/>
    <col min="12028" max="12028" width="2.140625" style="73" customWidth="1"/>
    <col min="12029" max="12029" width="6.140625" style="73" customWidth="1"/>
    <col min="12030" max="12030" width="8.85546875" style="73" customWidth="1"/>
    <col min="12031" max="12031" width="28.42578125" style="73" customWidth="1"/>
    <col min="12032" max="12032" width="13.85546875" style="73" customWidth="1"/>
    <col min="12033" max="12033" width="8.42578125" style="73" customWidth="1"/>
    <col min="12034" max="12037" width="0" style="73" hidden="1" customWidth="1"/>
    <col min="12038" max="12038" width="5.28515625" style="73" customWidth="1"/>
    <col min="12039" max="12039" width="5.5703125" style="73" customWidth="1"/>
    <col min="12040" max="12040" width="6" style="73" customWidth="1"/>
    <col min="12041" max="12041" width="5.5703125" style="73" customWidth="1"/>
    <col min="12042" max="12043" width="5.7109375" style="73" customWidth="1"/>
    <col min="12044" max="12044" width="9.85546875" style="73" customWidth="1"/>
    <col min="12045" max="12045" width="9.7109375" style="73" customWidth="1"/>
    <col min="12046" max="12046" width="8.85546875" style="73" customWidth="1"/>
    <col min="12047" max="12047" width="10" style="73" customWidth="1"/>
    <col min="12048" max="12048" width="8.28515625" style="73" customWidth="1"/>
    <col min="12049" max="12049" width="9.5703125" style="73" customWidth="1"/>
    <col min="12050" max="12050" width="15.5703125" style="73" customWidth="1"/>
    <col min="12051" max="12282" width="9.140625" style="73"/>
    <col min="12283" max="12283" width="6.85546875" style="73" customWidth="1"/>
    <col min="12284" max="12284" width="2.140625" style="73" customWidth="1"/>
    <col min="12285" max="12285" width="6.140625" style="73" customWidth="1"/>
    <col min="12286" max="12286" width="8.85546875" style="73" customWidth="1"/>
    <col min="12287" max="12287" width="28.42578125" style="73" customWidth="1"/>
    <col min="12288" max="12288" width="13.85546875" style="73" customWidth="1"/>
    <col min="12289" max="12289" width="8.42578125" style="73" customWidth="1"/>
    <col min="12290" max="12293" width="0" style="73" hidden="1" customWidth="1"/>
    <col min="12294" max="12294" width="5.28515625" style="73" customWidth="1"/>
    <col min="12295" max="12295" width="5.5703125" style="73" customWidth="1"/>
    <col min="12296" max="12296" width="6" style="73" customWidth="1"/>
    <col min="12297" max="12297" width="5.5703125" style="73" customWidth="1"/>
    <col min="12298" max="12299" width="5.7109375" style="73" customWidth="1"/>
    <col min="12300" max="12300" width="9.85546875" style="73" customWidth="1"/>
    <col min="12301" max="12301" width="9.7109375" style="73" customWidth="1"/>
    <col min="12302" max="12302" width="8.85546875" style="73" customWidth="1"/>
    <col min="12303" max="12303" width="10" style="73" customWidth="1"/>
    <col min="12304" max="12304" width="8.28515625" style="73" customWidth="1"/>
    <col min="12305" max="12305" width="9.5703125" style="73" customWidth="1"/>
    <col min="12306" max="12306" width="15.5703125" style="73" customWidth="1"/>
    <col min="12307" max="12538" width="9.140625" style="73"/>
    <col min="12539" max="12539" width="6.85546875" style="73" customWidth="1"/>
    <col min="12540" max="12540" width="2.140625" style="73" customWidth="1"/>
    <col min="12541" max="12541" width="6.140625" style="73" customWidth="1"/>
    <col min="12542" max="12542" width="8.85546875" style="73" customWidth="1"/>
    <col min="12543" max="12543" width="28.42578125" style="73" customWidth="1"/>
    <col min="12544" max="12544" width="13.85546875" style="73" customWidth="1"/>
    <col min="12545" max="12545" width="8.42578125" style="73" customWidth="1"/>
    <col min="12546" max="12549" width="0" style="73" hidden="1" customWidth="1"/>
    <col min="12550" max="12550" width="5.28515625" style="73" customWidth="1"/>
    <col min="12551" max="12551" width="5.5703125" style="73" customWidth="1"/>
    <col min="12552" max="12552" width="6" style="73" customWidth="1"/>
    <col min="12553" max="12553" width="5.5703125" style="73" customWidth="1"/>
    <col min="12554" max="12555" width="5.7109375" style="73" customWidth="1"/>
    <col min="12556" max="12556" width="9.85546875" style="73" customWidth="1"/>
    <col min="12557" max="12557" width="9.7109375" style="73" customWidth="1"/>
    <col min="12558" max="12558" width="8.85546875" style="73" customWidth="1"/>
    <col min="12559" max="12559" width="10" style="73" customWidth="1"/>
    <col min="12560" max="12560" width="8.28515625" style="73" customWidth="1"/>
    <col min="12561" max="12561" width="9.5703125" style="73" customWidth="1"/>
    <col min="12562" max="12562" width="15.5703125" style="73" customWidth="1"/>
    <col min="12563" max="12794" width="9.140625" style="73"/>
    <col min="12795" max="12795" width="6.85546875" style="73" customWidth="1"/>
    <col min="12796" max="12796" width="2.140625" style="73" customWidth="1"/>
    <col min="12797" max="12797" width="6.140625" style="73" customWidth="1"/>
    <col min="12798" max="12798" width="8.85546875" style="73" customWidth="1"/>
    <col min="12799" max="12799" width="28.42578125" style="73" customWidth="1"/>
    <col min="12800" max="12800" width="13.85546875" style="73" customWidth="1"/>
    <col min="12801" max="12801" width="8.42578125" style="73" customWidth="1"/>
    <col min="12802" max="12805" width="0" style="73" hidden="1" customWidth="1"/>
    <col min="12806" max="12806" width="5.28515625" style="73" customWidth="1"/>
    <col min="12807" max="12807" width="5.5703125" style="73" customWidth="1"/>
    <col min="12808" max="12808" width="6" style="73" customWidth="1"/>
    <col min="12809" max="12809" width="5.5703125" style="73" customWidth="1"/>
    <col min="12810" max="12811" width="5.7109375" style="73" customWidth="1"/>
    <col min="12812" max="12812" width="9.85546875" style="73" customWidth="1"/>
    <col min="12813" max="12813" width="9.7109375" style="73" customWidth="1"/>
    <col min="12814" max="12814" width="8.85546875" style="73" customWidth="1"/>
    <col min="12815" max="12815" width="10" style="73" customWidth="1"/>
    <col min="12816" max="12816" width="8.28515625" style="73" customWidth="1"/>
    <col min="12817" max="12817" width="9.5703125" style="73" customWidth="1"/>
    <col min="12818" max="12818" width="15.5703125" style="73" customWidth="1"/>
    <col min="12819" max="13050" width="9.140625" style="73"/>
    <col min="13051" max="13051" width="6.85546875" style="73" customWidth="1"/>
    <col min="13052" max="13052" width="2.140625" style="73" customWidth="1"/>
    <col min="13053" max="13053" width="6.140625" style="73" customWidth="1"/>
    <col min="13054" max="13054" width="8.85546875" style="73" customWidth="1"/>
    <col min="13055" max="13055" width="28.42578125" style="73" customWidth="1"/>
    <col min="13056" max="13056" width="13.85546875" style="73" customWidth="1"/>
    <col min="13057" max="13057" width="8.42578125" style="73" customWidth="1"/>
    <col min="13058" max="13061" width="0" style="73" hidden="1" customWidth="1"/>
    <col min="13062" max="13062" width="5.28515625" style="73" customWidth="1"/>
    <col min="13063" max="13063" width="5.5703125" style="73" customWidth="1"/>
    <col min="13064" max="13064" width="6" style="73" customWidth="1"/>
    <col min="13065" max="13065" width="5.5703125" style="73" customWidth="1"/>
    <col min="13066" max="13067" width="5.7109375" style="73" customWidth="1"/>
    <col min="13068" max="13068" width="9.85546875" style="73" customWidth="1"/>
    <col min="13069" max="13069" width="9.7109375" style="73" customWidth="1"/>
    <col min="13070" max="13070" width="8.85546875" style="73" customWidth="1"/>
    <col min="13071" max="13071" width="10" style="73" customWidth="1"/>
    <col min="13072" max="13072" width="8.28515625" style="73" customWidth="1"/>
    <col min="13073" max="13073" width="9.5703125" style="73" customWidth="1"/>
    <col min="13074" max="13074" width="15.5703125" style="73" customWidth="1"/>
    <col min="13075" max="13306" width="9.140625" style="73"/>
    <col min="13307" max="13307" width="6.85546875" style="73" customWidth="1"/>
    <col min="13308" max="13308" width="2.140625" style="73" customWidth="1"/>
    <col min="13309" max="13309" width="6.140625" style="73" customWidth="1"/>
    <col min="13310" max="13310" width="8.85546875" style="73" customWidth="1"/>
    <col min="13311" max="13311" width="28.42578125" style="73" customWidth="1"/>
    <col min="13312" max="13312" width="13.85546875" style="73" customWidth="1"/>
    <col min="13313" max="13313" width="8.42578125" style="73" customWidth="1"/>
    <col min="13314" max="13317" width="0" style="73" hidden="1" customWidth="1"/>
    <col min="13318" max="13318" width="5.28515625" style="73" customWidth="1"/>
    <col min="13319" max="13319" width="5.5703125" style="73" customWidth="1"/>
    <col min="13320" max="13320" width="6" style="73" customWidth="1"/>
    <col min="13321" max="13321" width="5.5703125" style="73" customWidth="1"/>
    <col min="13322" max="13323" width="5.7109375" style="73" customWidth="1"/>
    <col min="13324" max="13324" width="9.85546875" style="73" customWidth="1"/>
    <col min="13325" max="13325" width="9.7109375" style="73" customWidth="1"/>
    <col min="13326" max="13326" width="8.85546875" style="73" customWidth="1"/>
    <col min="13327" max="13327" width="10" style="73" customWidth="1"/>
    <col min="13328" max="13328" width="8.28515625" style="73" customWidth="1"/>
    <col min="13329" max="13329" width="9.5703125" style="73" customWidth="1"/>
    <col min="13330" max="13330" width="15.5703125" style="73" customWidth="1"/>
    <col min="13331" max="13562" width="9.140625" style="73"/>
    <col min="13563" max="13563" width="6.85546875" style="73" customWidth="1"/>
    <col min="13564" max="13564" width="2.140625" style="73" customWidth="1"/>
    <col min="13565" max="13565" width="6.140625" style="73" customWidth="1"/>
    <col min="13566" max="13566" width="8.85546875" style="73" customWidth="1"/>
    <col min="13567" max="13567" width="28.42578125" style="73" customWidth="1"/>
    <col min="13568" max="13568" width="13.85546875" style="73" customWidth="1"/>
    <col min="13569" max="13569" width="8.42578125" style="73" customWidth="1"/>
    <col min="13570" max="13573" width="0" style="73" hidden="1" customWidth="1"/>
    <col min="13574" max="13574" width="5.28515625" style="73" customWidth="1"/>
    <col min="13575" max="13575" width="5.5703125" style="73" customWidth="1"/>
    <col min="13576" max="13576" width="6" style="73" customWidth="1"/>
    <col min="13577" max="13577" width="5.5703125" style="73" customWidth="1"/>
    <col min="13578" max="13579" width="5.7109375" style="73" customWidth="1"/>
    <col min="13580" max="13580" width="9.85546875" style="73" customWidth="1"/>
    <col min="13581" max="13581" width="9.7109375" style="73" customWidth="1"/>
    <col min="13582" max="13582" width="8.85546875" style="73" customWidth="1"/>
    <col min="13583" max="13583" width="10" style="73" customWidth="1"/>
    <col min="13584" max="13584" width="8.28515625" style="73" customWidth="1"/>
    <col min="13585" max="13585" width="9.5703125" style="73" customWidth="1"/>
    <col min="13586" max="13586" width="15.5703125" style="73" customWidth="1"/>
    <col min="13587" max="13818" width="9.140625" style="73"/>
    <col min="13819" max="13819" width="6.85546875" style="73" customWidth="1"/>
    <col min="13820" max="13820" width="2.140625" style="73" customWidth="1"/>
    <col min="13821" max="13821" width="6.140625" style="73" customWidth="1"/>
    <col min="13822" max="13822" width="8.85546875" style="73" customWidth="1"/>
    <col min="13823" max="13823" width="28.42578125" style="73" customWidth="1"/>
    <col min="13824" max="13824" width="13.85546875" style="73" customWidth="1"/>
    <col min="13825" max="13825" width="8.42578125" style="73" customWidth="1"/>
    <col min="13826" max="13829" width="0" style="73" hidden="1" customWidth="1"/>
    <col min="13830" max="13830" width="5.28515625" style="73" customWidth="1"/>
    <col min="13831" max="13831" width="5.5703125" style="73" customWidth="1"/>
    <col min="13832" max="13832" width="6" style="73" customWidth="1"/>
    <col min="13833" max="13833" width="5.5703125" style="73" customWidth="1"/>
    <col min="13834" max="13835" width="5.7109375" style="73" customWidth="1"/>
    <col min="13836" max="13836" width="9.85546875" style="73" customWidth="1"/>
    <col min="13837" max="13837" width="9.7109375" style="73" customWidth="1"/>
    <col min="13838" max="13838" width="8.85546875" style="73" customWidth="1"/>
    <col min="13839" max="13839" width="10" style="73" customWidth="1"/>
    <col min="13840" max="13840" width="8.28515625" style="73" customWidth="1"/>
    <col min="13841" max="13841" width="9.5703125" style="73" customWidth="1"/>
    <col min="13842" max="13842" width="15.5703125" style="73" customWidth="1"/>
    <col min="13843" max="14074" width="9.140625" style="73"/>
    <col min="14075" max="14075" width="6.85546875" style="73" customWidth="1"/>
    <col min="14076" max="14076" width="2.140625" style="73" customWidth="1"/>
    <col min="14077" max="14077" width="6.140625" style="73" customWidth="1"/>
    <col min="14078" max="14078" width="8.85546875" style="73" customWidth="1"/>
    <col min="14079" max="14079" width="28.42578125" style="73" customWidth="1"/>
    <col min="14080" max="14080" width="13.85546875" style="73" customWidth="1"/>
    <col min="14081" max="14081" width="8.42578125" style="73" customWidth="1"/>
    <col min="14082" max="14085" width="0" style="73" hidden="1" customWidth="1"/>
    <col min="14086" max="14086" width="5.28515625" style="73" customWidth="1"/>
    <col min="14087" max="14087" width="5.5703125" style="73" customWidth="1"/>
    <col min="14088" max="14088" width="6" style="73" customWidth="1"/>
    <col min="14089" max="14089" width="5.5703125" style="73" customWidth="1"/>
    <col min="14090" max="14091" width="5.7109375" style="73" customWidth="1"/>
    <col min="14092" max="14092" width="9.85546875" style="73" customWidth="1"/>
    <col min="14093" max="14093" width="9.7109375" style="73" customWidth="1"/>
    <col min="14094" max="14094" width="8.85546875" style="73" customWidth="1"/>
    <col min="14095" max="14095" width="10" style="73" customWidth="1"/>
    <col min="14096" max="14096" width="8.28515625" style="73" customWidth="1"/>
    <col min="14097" max="14097" width="9.5703125" style="73" customWidth="1"/>
    <col min="14098" max="14098" width="15.5703125" style="73" customWidth="1"/>
    <col min="14099" max="14330" width="9.140625" style="73"/>
    <col min="14331" max="14331" width="6.85546875" style="73" customWidth="1"/>
    <col min="14332" max="14332" width="2.140625" style="73" customWidth="1"/>
    <col min="14333" max="14333" width="6.140625" style="73" customWidth="1"/>
    <col min="14334" max="14334" width="8.85546875" style="73" customWidth="1"/>
    <col min="14335" max="14335" width="28.42578125" style="73" customWidth="1"/>
    <col min="14336" max="14336" width="13.85546875" style="73" customWidth="1"/>
    <col min="14337" max="14337" width="8.42578125" style="73" customWidth="1"/>
    <col min="14338" max="14341" width="0" style="73" hidden="1" customWidth="1"/>
    <col min="14342" max="14342" width="5.28515625" style="73" customWidth="1"/>
    <col min="14343" max="14343" width="5.5703125" style="73" customWidth="1"/>
    <col min="14344" max="14344" width="6" style="73" customWidth="1"/>
    <col min="14345" max="14345" width="5.5703125" style="73" customWidth="1"/>
    <col min="14346" max="14347" width="5.7109375" style="73" customWidth="1"/>
    <col min="14348" max="14348" width="9.85546875" style="73" customWidth="1"/>
    <col min="14349" max="14349" width="9.7109375" style="73" customWidth="1"/>
    <col min="14350" max="14350" width="8.85546875" style="73" customWidth="1"/>
    <col min="14351" max="14351" width="10" style="73" customWidth="1"/>
    <col min="14352" max="14352" width="8.28515625" style="73" customWidth="1"/>
    <col min="14353" max="14353" width="9.5703125" style="73" customWidth="1"/>
    <col min="14354" max="14354" width="15.5703125" style="73" customWidth="1"/>
    <col min="14355" max="14586" width="9.140625" style="73"/>
    <col min="14587" max="14587" width="6.85546875" style="73" customWidth="1"/>
    <col min="14588" max="14588" width="2.140625" style="73" customWidth="1"/>
    <col min="14589" max="14589" width="6.140625" style="73" customWidth="1"/>
    <col min="14590" max="14590" width="8.85546875" style="73" customWidth="1"/>
    <col min="14591" max="14591" width="28.42578125" style="73" customWidth="1"/>
    <col min="14592" max="14592" width="13.85546875" style="73" customWidth="1"/>
    <col min="14593" max="14593" width="8.42578125" style="73" customWidth="1"/>
    <col min="14594" max="14597" width="0" style="73" hidden="1" customWidth="1"/>
    <col min="14598" max="14598" width="5.28515625" style="73" customWidth="1"/>
    <col min="14599" max="14599" width="5.5703125" style="73" customWidth="1"/>
    <col min="14600" max="14600" width="6" style="73" customWidth="1"/>
    <col min="14601" max="14601" width="5.5703125" style="73" customWidth="1"/>
    <col min="14602" max="14603" width="5.7109375" style="73" customWidth="1"/>
    <col min="14604" max="14604" width="9.85546875" style="73" customWidth="1"/>
    <col min="14605" max="14605" width="9.7109375" style="73" customWidth="1"/>
    <col min="14606" max="14606" width="8.85546875" style="73" customWidth="1"/>
    <col min="14607" max="14607" width="10" style="73" customWidth="1"/>
    <col min="14608" max="14608" width="8.28515625" style="73" customWidth="1"/>
    <col min="14609" max="14609" width="9.5703125" style="73" customWidth="1"/>
    <col min="14610" max="14610" width="15.5703125" style="73" customWidth="1"/>
    <col min="14611" max="14842" width="9.140625" style="73"/>
    <col min="14843" max="14843" width="6.85546875" style="73" customWidth="1"/>
    <col min="14844" max="14844" width="2.140625" style="73" customWidth="1"/>
    <col min="14845" max="14845" width="6.140625" style="73" customWidth="1"/>
    <col min="14846" max="14846" width="8.85546875" style="73" customWidth="1"/>
    <col min="14847" max="14847" width="28.42578125" style="73" customWidth="1"/>
    <col min="14848" max="14848" width="13.85546875" style="73" customWidth="1"/>
    <col min="14849" max="14849" width="8.42578125" style="73" customWidth="1"/>
    <col min="14850" max="14853" width="0" style="73" hidden="1" customWidth="1"/>
    <col min="14854" max="14854" width="5.28515625" style="73" customWidth="1"/>
    <col min="14855" max="14855" width="5.5703125" style="73" customWidth="1"/>
    <col min="14856" max="14856" width="6" style="73" customWidth="1"/>
    <col min="14857" max="14857" width="5.5703125" style="73" customWidth="1"/>
    <col min="14858" max="14859" width="5.7109375" style="73" customWidth="1"/>
    <col min="14860" max="14860" width="9.85546875" style="73" customWidth="1"/>
    <col min="14861" max="14861" width="9.7109375" style="73" customWidth="1"/>
    <col min="14862" max="14862" width="8.85546875" style="73" customWidth="1"/>
    <col min="14863" max="14863" width="10" style="73" customWidth="1"/>
    <col min="14864" max="14864" width="8.28515625" style="73" customWidth="1"/>
    <col min="14865" max="14865" width="9.5703125" style="73" customWidth="1"/>
    <col min="14866" max="14866" width="15.5703125" style="73" customWidth="1"/>
    <col min="14867" max="15098" width="9.140625" style="73"/>
    <col min="15099" max="15099" width="6.85546875" style="73" customWidth="1"/>
    <col min="15100" max="15100" width="2.140625" style="73" customWidth="1"/>
    <col min="15101" max="15101" width="6.140625" style="73" customWidth="1"/>
    <col min="15102" max="15102" width="8.85546875" style="73" customWidth="1"/>
    <col min="15103" max="15103" width="28.42578125" style="73" customWidth="1"/>
    <col min="15104" max="15104" width="13.85546875" style="73" customWidth="1"/>
    <col min="15105" max="15105" width="8.42578125" style="73" customWidth="1"/>
    <col min="15106" max="15109" width="0" style="73" hidden="1" customWidth="1"/>
    <col min="15110" max="15110" width="5.28515625" style="73" customWidth="1"/>
    <col min="15111" max="15111" width="5.5703125" style="73" customWidth="1"/>
    <col min="15112" max="15112" width="6" style="73" customWidth="1"/>
    <col min="15113" max="15113" width="5.5703125" style="73" customWidth="1"/>
    <col min="15114" max="15115" width="5.7109375" style="73" customWidth="1"/>
    <col min="15116" max="15116" width="9.85546875" style="73" customWidth="1"/>
    <col min="15117" max="15117" width="9.7109375" style="73" customWidth="1"/>
    <col min="15118" max="15118" width="8.85546875" style="73" customWidth="1"/>
    <col min="15119" max="15119" width="10" style="73" customWidth="1"/>
    <col min="15120" max="15120" width="8.28515625" style="73" customWidth="1"/>
    <col min="15121" max="15121" width="9.5703125" style="73" customWidth="1"/>
    <col min="15122" max="15122" width="15.5703125" style="73" customWidth="1"/>
    <col min="15123" max="15354" width="9.140625" style="73"/>
    <col min="15355" max="15355" width="6.85546875" style="73" customWidth="1"/>
    <col min="15356" max="15356" width="2.140625" style="73" customWidth="1"/>
    <col min="15357" max="15357" width="6.140625" style="73" customWidth="1"/>
    <col min="15358" max="15358" width="8.85546875" style="73" customWidth="1"/>
    <col min="15359" max="15359" width="28.42578125" style="73" customWidth="1"/>
    <col min="15360" max="15360" width="13.85546875" style="73" customWidth="1"/>
    <col min="15361" max="15361" width="8.42578125" style="73" customWidth="1"/>
    <col min="15362" max="15365" width="0" style="73" hidden="1" customWidth="1"/>
    <col min="15366" max="15366" width="5.28515625" style="73" customWidth="1"/>
    <col min="15367" max="15367" width="5.5703125" style="73" customWidth="1"/>
    <col min="15368" max="15368" width="6" style="73" customWidth="1"/>
    <col min="15369" max="15369" width="5.5703125" style="73" customWidth="1"/>
    <col min="15370" max="15371" width="5.7109375" style="73" customWidth="1"/>
    <col min="15372" max="15372" width="9.85546875" style="73" customWidth="1"/>
    <col min="15373" max="15373" width="9.7109375" style="73" customWidth="1"/>
    <col min="15374" max="15374" width="8.85546875" style="73" customWidth="1"/>
    <col min="15375" max="15375" width="10" style="73" customWidth="1"/>
    <col min="15376" max="15376" width="8.28515625" style="73" customWidth="1"/>
    <col min="15377" max="15377" width="9.5703125" style="73" customWidth="1"/>
    <col min="15378" max="15378" width="15.5703125" style="73" customWidth="1"/>
    <col min="15379" max="15610" width="9.140625" style="73"/>
    <col min="15611" max="15611" width="6.85546875" style="73" customWidth="1"/>
    <col min="15612" max="15612" width="2.140625" style="73" customWidth="1"/>
    <col min="15613" max="15613" width="6.140625" style="73" customWidth="1"/>
    <col min="15614" max="15614" width="8.85546875" style="73" customWidth="1"/>
    <col min="15615" max="15615" width="28.42578125" style="73" customWidth="1"/>
    <col min="15616" max="15616" width="13.85546875" style="73" customWidth="1"/>
    <col min="15617" max="15617" width="8.42578125" style="73" customWidth="1"/>
    <col min="15618" max="15621" width="0" style="73" hidden="1" customWidth="1"/>
    <col min="15622" max="15622" width="5.28515625" style="73" customWidth="1"/>
    <col min="15623" max="15623" width="5.5703125" style="73" customWidth="1"/>
    <col min="15624" max="15624" width="6" style="73" customWidth="1"/>
    <col min="15625" max="15625" width="5.5703125" style="73" customWidth="1"/>
    <col min="15626" max="15627" width="5.7109375" style="73" customWidth="1"/>
    <col min="15628" max="15628" width="9.85546875" style="73" customWidth="1"/>
    <col min="15629" max="15629" width="9.7109375" style="73" customWidth="1"/>
    <col min="15630" max="15630" width="8.85546875" style="73" customWidth="1"/>
    <col min="15631" max="15631" width="10" style="73" customWidth="1"/>
    <col min="15632" max="15632" width="8.28515625" style="73" customWidth="1"/>
    <col min="15633" max="15633" width="9.5703125" style="73" customWidth="1"/>
    <col min="15634" max="15634" width="15.5703125" style="73" customWidth="1"/>
    <col min="15635" max="15866" width="9.140625" style="73"/>
    <col min="15867" max="15867" width="6.85546875" style="73" customWidth="1"/>
    <col min="15868" max="15868" width="2.140625" style="73" customWidth="1"/>
    <col min="15869" max="15869" width="6.140625" style="73" customWidth="1"/>
    <col min="15870" max="15870" width="8.85546875" style="73" customWidth="1"/>
    <col min="15871" max="15871" width="28.42578125" style="73" customWidth="1"/>
    <col min="15872" max="15872" width="13.85546875" style="73" customWidth="1"/>
    <col min="15873" max="15873" width="8.42578125" style="73" customWidth="1"/>
    <col min="15874" max="15877" width="0" style="73" hidden="1" customWidth="1"/>
    <col min="15878" max="15878" width="5.28515625" style="73" customWidth="1"/>
    <col min="15879" max="15879" width="5.5703125" style="73" customWidth="1"/>
    <col min="15880" max="15880" width="6" style="73" customWidth="1"/>
    <col min="15881" max="15881" width="5.5703125" style="73" customWidth="1"/>
    <col min="15882" max="15883" width="5.7109375" style="73" customWidth="1"/>
    <col min="15884" max="15884" width="9.85546875" style="73" customWidth="1"/>
    <col min="15885" max="15885" width="9.7109375" style="73" customWidth="1"/>
    <col min="15886" max="15886" width="8.85546875" style="73" customWidth="1"/>
    <col min="15887" max="15887" width="10" style="73" customWidth="1"/>
    <col min="15888" max="15888" width="8.28515625" style="73" customWidth="1"/>
    <col min="15889" max="15889" width="9.5703125" style="73" customWidth="1"/>
    <col min="15890" max="15890" width="15.5703125" style="73" customWidth="1"/>
    <col min="15891" max="16122" width="9.140625" style="73"/>
    <col min="16123" max="16123" width="6.85546875" style="73" customWidth="1"/>
    <col min="16124" max="16124" width="2.140625" style="73" customWidth="1"/>
    <col min="16125" max="16125" width="6.140625" style="73" customWidth="1"/>
    <col min="16126" max="16126" width="8.85546875" style="73" customWidth="1"/>
    <col min="16127" max="16127" width="28.42578125" style="73" customWidth="1"/>
    <col min="16128" max="16128" width="13.85546875" style="73" customWidth="1"/>
    <col min="16129" max="16129" width="8.42578125" style="73" customWidth="1"/>
    <col min="16130" max="16133" width="0" style="73" hidden="1" customWidth="1"/>
    <col min="16134" max="16134" width="5.28515625" style="73" customWidth="1"/>
    <col min="16135" max="16135" width="5.5703125" style="73" customWidth="1"/>
    <col min="16136" max="16136" width="6" style="73" customWidth="1"/>
    <col min="16137" max="16137" width="5.5703125" style="73" customWidth="1"/>
    <col min="16138" max="16139" width="5.7109375" style="73" customWidth="1"/>
    <col min="16140" max="16140" width="9.85546875" style="73" customWidth="1"/>
    <col min="16141" max="16141" width="9.7109375" style="73" customWidth="1"/>
    <col min="16142" max="16142" width="8.85546875" style="73" customWidth="1"/>
    <col min="16143" max="16143" width="10" style="73" customWidth="1"/>
    <col min="16144" max="16144" width="8.28515625" style="73" customWidth="1"/>
    <col min="16145" max="16145" width="9.5703125" style="73" customWidth="1"/>
    <col min="16146" max="16146" width="15.5703125" style="73" customWidth="1"/>
    <col min="16147" max="16384" width="9.140625" style="73"/>
  </cols>
  <sheetData>
    <row r="1" spans="1:30" s="80" customFormat="1" ht="19.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</row>
    <row r="2" spans="1:30" s="80" customFormat="1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</row>
    <row r="3" spans="1:30" s="80" customFormat="1" ht="15" customHeight="1">
      <c r="A3" s="248" t="s">
        <v>375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</row>
    <row r="4" spans="1:30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0" s="3" customFormat="1" ht="5.2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0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</row>
    <row r="7" spans="1:30" s="6" customFormat="1" ht="18.75" customHeight="1">
      <c r="A7" s="5" t="s">
        <v>6</v>
      </c>
      <c r="C7" s="7"/>
      <c r="D7" s="127" t="s">
        <v>239</v>
      </c>
      <c r="E7" s="7"/>
    </row>
    <row r="8" spans="1:30" s="8" customFormat="1" ht="18.75" customHeight="1">
      <c r="A8" s="5"/>
      <c r="C8" s="9"/>
      <c r="D8" s="128"/>
      <c r="E8" s="149" t="s">
        <v>342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0" s="8" customFormat="1" ht="18.75" customHeight="1">
      <c r="A9" s="12"/>
      <c r="C9" s="81"/>
      <c r="D9" s="145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D9" s="6"/>
    </row>
    <row r="10" spans="1:30" s="8" customFormat="1" ht="18.75" customHeight="1">
      <c r="A10" s="12"/>
      <c r="C10" s="81"/>
      <c r="D10" s="312"/>
      <c r="E10" s="312"/>
      <c r="F10" s="6"/>
      <c r="G10" s="6"/>
      <c r="H10" s="6"/>
      <c r="I10" s="6"/>
      <c r="J10" s="6"/>
      <c r="K10" s="6"/>
      <c r="L10" s="6"/>
      <c r="M10" s="6"/>
      <c r="N10" s="6"/>
      <c r="O10" s="6">
        <f>18*11</f>
        <v>198</v>
      </c>
      <c r="P10" s="6"/>
      <c r="Q10" s="6"/>
      <c r="R10" s="6"/>
      <c r="S10" s="6"/>
      <c r="T10" s="6"/>
      <c r="U10" s="6"/>
      <c r="V10" s="6"/>
      <c r="W10" s="146" t="s">
        <v>312</v>
      </c>
      <c r="AA10" s="6"/>
      <c r="AB10" s="6"/>
      <c r="AC10" s="6"/>
      <c r="AD10" s="6"/>
    </row>
    <row r="11" spans="1:30" s="8" customFormat="1" ht="18.75" customHeight="1">
      <c r="A11" s="12"/>
      <c r="C11" s="81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T11" s="6"/>
      <c r="U11" s="6"/>
      <c r="V11" s="6"/>
      <c r="W11" s="146"/>
    </row>
    <row r="12" spans="1:30" s="8" customFormat="1" ht="18.75" customHeight="1" thickBot="1">
      <c r="A12" s="12" t="s">
        <v>9</v>
      </c>
      <c r="C12" s="250">
        <f>T31</f>
        <v>1391</v>
      </c>
      <c r="D12" s="250"/>
      <c r="E12" s="14"/>
      <c r="F12" s="17"/>
      <c r="G12" s="6"/>
      <c r="H12" s="6"/>
      <c r="I12" s="6"/>
      <c r="J12" s="6"/>
      <c r="K12" s="6"/>
      <c r="L12" s="18"/>
      <c r="M12" s="6"/>
      <c r="N12" s="6"/>
      <c r="O12" s="6"/>
      <c r="P12" s="6"/>
      <c r="Q12" s="18"/>
      <c r="R12" s="6"/>
      <c r="T12" s="19"/>
      <c r="U12" s="19"/>
      <c r="V12" s="19"/>
      <c r="W12" s="19"/>
    </row>
    <row r="13" spans="1:30" s="22" customFormat="1" ht="22.5" customHeight="1" thickBot="1">
      <c r="A13" s="251" t="s">
        <v>11</v>
      </c>
      <c r="B13" s="252"/>
      <c r="C13" s="253"/>
      <c r="D13" s="260" t="s">
        <v>12</v>
      </c>
      <c r="E13" s="263" t="s">
        <v>14</v>
      </c>
      <c r="F13" s="328" t="s">
        <v>17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232" t="s">
        <v>18</v>
      </c>
      <c r="T13" s="235" t="s">
        <v>216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127</v>
      </c>
      <c r="AA13" s="239"/>
      <c r="AB13" s="240"/>
      <c r="AC13" s="224" t="s">
        <v>310</v>
      </c>
    </row>
    <row r="14" spans="1:30" s="22" customFormat="1" ht="18.75" customHeight="1" thickBot="1">
      <c r="A14" s="254"/>
      <c r="B14" s="255"/>
      <c r="C14" s="256"/>
      <c r="D14" s="261"/>
      <c r="E14" s="264"/>
      <c r="F14" s="227"/>
      <c r="G14" s="227"/>
      <c r="H14" s="227"/>
      <c r="I14" s="227"/>
      <c r="J14" s="227" t="s">
        <v>323</v>
      </c>
      <c r="K14" s="227" t="s">
        <v>304</v>
      </c>
      <c r="L14" s="227" t="s">
        <v>303</v>
      </c>
      <c r="M14" s="227" t="s">
        <v>315</v>
      </c>
      <c r="N14" s="227" t="s">
        <v>316</v>
      </c>
      <c r="O14" s="227" t="s">
        <v>308</v>
      </c>
      <c r="P14" s="227">
        <v>56</v>
      </c>
      <c r="Q14" s="227">
        <v>58</v>
      </c>
      <c r="R14" s="227">
        <v>60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</row>
    <row r="15" spans="1:30" s="22" customFormat="1" ht="24" customHeight="1" thickBot="1">
      <c r="A15" s="257"/>
      <c r="B15" s="258"/>
      <c r="C15" s="259"/>
      <c r="D15" s="262"/>
      <c r="E15" s="265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79" t="s">
        <v>4</v>
      </c>
      <c r="AA15" s="79" t="s">
        <v>30</v>
      </c>
      <c r="AB15" s="79" t="s">
        <v>31</v>
      </c>
      <c r="AC15" s="226"/>
    </row>
    <row r="16" spans="1:30" s="42" customFormat="1" ht="27.75" customHeight="1">
      <c r="A16" s="27">
        <v>1</v>
      </c>
      <c r="B16" s="28" t="s">
        <v>32</v>
      </c>
      <c r="C16" s="27">
        <f t="shared" ref="C16:C19" si="0">+A16+D16-1</f>
        <v>11</v>
      </c>
      <c r="D16" s="27">
        <f t="shared" ref="D16:D19" si="1">+T16/S16</f>
        <v>11</v>
      </c>
      <c r="E16" s="83" t="str">
        <f>+$D$7</f>
        <v>Men's Blazer</v>
      </c>
      <c r="F16" s="31"/>
      <c r="G16" s="31"/>
      <c r="H16" s="31"/>
      <c r="I16" s="31"/>
      <c r="J16" s="31"/>
      <c r="K16" s="31"/>
      <c r="L16" s="31"/>
      <c r="M16" s="30"/>
      <c r="N16" s="31"/>
      <c r="O16" s="31"/>
      <c r="P16" s="31">
        <v>18</v>
      </c>
      <c r="Q16" s="31"/>
      <c r="R16" s="31"/>
      <c r="S16" s="28">
        <f>+SUM(F16:R16)</f>
        <v>18</v>
      </c>
      <c r="T16" s="151">
        <v>198</v>
      </c>
      <c r="U16" s="99"/>
      <c r="V16" s="99"/>
      <c r="W16" s="105"/>
      <c r="X16" s="35"/>
      <c r="Y16" s="82">
        <f>+ROUND(D16*Z16*AA16*AB16/1000000,3)</f>
        <v>1.782</v>
      </c>
      <c r="Z16" s="94">
        <v>90</v>
      </c>
      <c r="AA16" s="94">
        <v>60</v>
      </c>
      <c r="AB16" s="94">
        <v>30</v>
      </c>
      <c r="AC16" s="109" t="s">
        <v>309</v>
      </c>
    </row>
    <row r="17" spans="1:32" s="42" customFormat="1" ht="27.75" customHeight="1">
      <c r="A17" s="27">
        <f>+C16+1</f>
        <v>12</v>
      </c>
      <c r="B17" s="28" t="s">
        <v>32</v>
      </c>
      <c r="C17" s="27">
        <f t="shared" si="0"/>
        <v>12</v>
      </c>
      <c r="D17" s="27">
        <f t="shared" si="1"/>
        <v>1</v>
      </c>
      <c r="E17" s="83" t="str">
        <f t="shared" ref="E17" si="2">+$D$7</f>
        <v>Men's Blazer</v>
      </c>
      <c r="F17" s="31"/>
      <c r="G17" s="31"/>
      <c r="H17" s="31"/>
      <c r="I17" s="31"/>
      <c r="J17" s="31"/>
      <c r="K17" s="31"/>
      <c r="L17" s="31"/>
      <c r="M17" s="30"/>
      <c r="N17" s="31"/>
      <c r="O17" s="31"/>
      <c r="P17" s="31">
        <v>16</v>
      </c>
      <c r="Q17" s="31"/>
      <c r="R17" s="31"/>
      <c r="S17" s="28">
        <f t="shared" ref="S17" si="3">+SUM(F17:R17)</f>
        <v>16</v>
      </c>
      <c r="T17" s="151">
        <v>16</v>
      </c>
      <c r="U17" s="124"/>
      <c r="V17" s="124"/>
      <c r="W17" s="125"/>
      <c r="X17" s="126"/>
      <c r="Y17" s="82">
        <f t="shared" ref="Y17:Y19" si="4">+ROUND(D17*Z17*AA17*AB17/1000000,3)</f>
        <v>0.16200000000000001</v>
      </c>
      <c r="Z17" s="94">
        <v>90</v>
      </c>
      <c r="AA17" s="94">
        <v>60</v>
      </c>
      <c r="AB17" s="94">
        <v>30</v>
      </c>
      <c r="AC17" s="109" t="s">
        <v>309</v>
      </c>
    </row>
    <row r="18" spans="1:32" s="42" customFormat="1" ht="27.75" customHeight="1">
      <c r="A18" s="27">
        <f>+C17+1</f>
        <v>13</v>
      </c>
      <c r="B18" s="28" t="s">
        <v>32</v>
      </c>
      <c r="C18" s="27">
        <f t="shared" si="0"/>
        <v>13</v>
      </c>
      <c r="D18" s="27">
        <f t="shared" si="1"/>
        <v>1</v>
      </c>
      <c r="E18" s="83" t="s">
        <v>343</v>
      </c>
      <c r="F18" s="31"/>
      <c r="G18" s="31"/>
      <c r="H18" s="31"/>
      <c r="I18" s="31"/>
      <c r="J18" s="31"/>
      <c r="K18" s="31"/>
      <c r="L18" s="31"/>
      <c r="M18" s="30"/>
      <c r="N18" s="31"/>
      <c r="O18" s="31">
        <v>61</v>
      </c>
      <c r="P18" s="31"/>
      <c r="Q18" s="31"/>
      <c r="R18" s="31"/>
      <c r="S18" s="28">
        <f t="shared" ref="S18:S30" si="5">+SUM(F18:R18)</f>
        <v>61</v>
      </c>
      <c r="T18" s="151">
        <v>61</v>
      </c>
      <c r="U18" s="124"/>
      <c r="V18" s="124"/>
      <c r="W18" s="125"/>
      <c r="X18" s="126"/>
      <c r="Y18" s="82">
        <f t="shared" si="4"/>
        <v>0.14399999999999999</v>
      </c>
      <c r="Z18" s="94">
        <v>60</v>
      </c>
      <c r="AA18" s="94">
        <v>60</v>
      </c>
      <c r="AB18" s="94">
        <v>40</v>
      </c>
      <c r="AC18" s="109" t="s">
        <v>309</v>
      </c>
    </row>
    <row r="19" spans="1:32" s="42" customFormat="1" ht="27.75" customHeight="1">
      <c r="A19" s="27">
        <f>+C18+1</f>
        <v>14</v>
      </c>
      <c r="B19" s="28" t="s">
        <v>32</v>
      </c>
      <c r="C19" s="27">
        <f t="shared" si="0"/>
        <v>14</v>
      </c>
      <c r="D19" s="27">
        <f t="shared" si="1"/>
        <v>1</v>
      </c>
      <c r="E19" s="83" t="s">
        <v>343</v>
      </c>
      <c r="F19" s="31"/>
      <c r="G19" s="31"/>
      <c r="H19" s="31"/>
      <c r="I19" s="31"/>
      <c r="J19" s="31"/>
      <c r="K19" s="31"/>
      <c r="L19" s="31"/>
      <c r="M19" s="30"/>
      <c r="N19" s="31"/>
      <c r="O19" s="31">
        <v>70</v>
      </c>
      <c r="P19" s="31"/>
      <c r="Q19" s="31"/>
      <c r="R19" s="31"/>
      <c r="S19" s="28">
        <f t="shared" si="5"/>
        <v>70</v>
      </c>
      <c r="T19" s="151">
        <v>70</v>
      </c>
      <c r="U19" s="124"/>
      <c r="V19" s="124"/>
      <c r="W19" s="125"/>
      <c r="X19" s="126"/>
      <c r="Y19" s="82">
        <f t="shared" si="4"/>
        <v>0.16200000000000001</v>
      </c>
      <c r="Z19" s="94">
        <v>90</v>
      </c>
      <c r="AA19" s="94">
        <v>60</v>
      </c>
      <c r="AB19" s="94">
        <v>30</v>
      </c>
      <c r="AC19" s="109" t="s">
        <v>309</v>
      </c>
    </row>
    <row r="20" spans="1:32" s="42" customFormat="1" ht="27.75" customHeight="1">
      <c r="A20" s="27">
        <f t="shared" ref="A20" si="6">+C19+1</f>
        <v>15</v>
      </c>
      <c r="B20" s="28" t="s">
        <v>32</v>
      </c>
      <c r="C20" s="27">
        <f t="shared" ref="C20:C22" si="7">+A20+D20-1</f>
        <v>17</v>
      </c>
      <c r="D20" s="27">
        <f t="shared" ref="D20:D22" si="8">+T20/S20</f>
        <v>3</v>
      </c>
      <c r="E20" s="83" t="s">
        <v>253</v>
      </c>
      <c r="F20" s="31"/>
      <c r="G20" s="31"/>
      <c r="H20" s="31"/>
      <c r="I20" s="31"/>
      <c r="J20" s="31"/>
      <c r="K20" s="31"/>
      <c r="L20" s="31"/>
      <c r="M20" s="30"/>
      <c r="N20" s="31"/>
      <c r="O20" s="31">
        <v>40</v>
      </c>
      <c r="P20" s="31"/>
      <c r="Q20" s="31"/>
      <c r="R20" s="31"/>
      <c r="S20" s="28">
        <f t="shared" ref="S20:S22" si="9">+SUM(F20:R20)</f>
        <v>40</v>
      </c>
      <c r="T20" s="151">
        <v>120</v>
      </c>
      <c r="U20" s="124"/>
      <c r="V20" s="124"/>
      <c r="W20" s="125"/>
      <c r="X20" s="126"/>
      <c r="Y20" s="82">
        <f t="shared" ref="Y20:Y22" si="10">+ROUND(D20*Z20*AA20*AB20/1000000,3)</f>
        <v>0.48599999999999999</v>
      </c>
      <c r="Z20" s="94">
        <v>90</v>
      </c>
      <c r="AA20" s="94">
        <v>60</v>
      </c>
      <c r="AB20" s="94">
        <v>30</v>
      </c>
      <c r="AC20" s="109" t="s">
        <v>309</v>
      </c>
    </row>
    <row r="21" spans="1:32" s="42" customFormat="1" ht="27.75" customHeight="1">
      <c r="A21" s="27">
        <f t="shared" ref="A21:A30" si="11">+C20+1</f>
        <v>18</v>
      </c>
      <c r="B21" s="28" t="s">
        <v>32</v>
      </c>
      <c r="C21" s="27">
        <f t="shared" ref="C21" si="12">+A21+D21-1</f>
        <v>18</v>
      </c>
      <c r="D21" s="27">
        <f t="shared" ref="D21" si="13">+T21/S21</f>
        <v>1</v>
      </c>
      <c r="E21" s="83" t="s">
        <v>253</v>
      </c>
      <c r="F21" s="31"/>
      <c r="G21" s="31"/>
      <c r="H21" s="31"/>
      <c r="I21" s="31"/>
      <c r="J21" s="31"/>
      <c r="K21" s="31"/>
      <c r="L21" s="31"/>
      <c r="M21" s="30"/>
      <c r="N21" s="31"/>
      <c r="O21" s="31">
        <v>41</v>
      </c>
      <c r="P21" s="31"/>
      <c r="Q21" s="31"/>
      <c r="R21" s="31"/>
      <c r="S21" s="28">
        <f t="shared" ref="S21" si="14">+SUM(F21:R21)</f>
        <v>41</v>
      </c>
      <c r="T21" s="151">
        <v>41</v>
      </c>
      <c r="U21" s="124"/>
      <c r="V21" s="124"/>
      <c r="W21" s="125"/>
      <c r="X21" s="126"/>
      <c r="Y21" s="82">
        <f t="shared" ref="Y21" si="15">+ROUND(D21*Z21*AA21*AB21/1000000,3)</f>
        <v>0.16200000000000001</v>
      </c>
      <c r="Z21" s="94">
        <v>90</v>
      </c>
      <c r="AA21" s="94">
        <v>60</v>
      </c>
      <c r="AB21" s="94">
        <v>30</v>
      </c>
      <c r="AC21" s="109" t="s">
        <v>309</v>
      </c>
    </row>
    <row r="22" spans="1:32" s="42" customFormat="1" ht="27.75" customHeight="1">
      <c r="A22" s="27">
        <f t="shared" si="11"/>
        <v>19</v>
      </c>
      <c r="B22" s="28" t="s">
        <v>32</v>
      </c>
      <c r="C22" s="27">
        <f t="shared" si="7"/>
        <v>19</v>
      </c>
      <c r="D22" s="27">
        <f t="shared" si="8"/>
        <v>1</v>
      </c>
      <c r="E22" s="83" t="s">
        <v>344</v>
      </c>
      <c r="F22" s="31"/>
      <c r="G22" s="31"/>
      <c r="H22" s="31"/>
      <c r="I22" s="31"/>
      <c r="J22" s="31"/>
      <c r="K22" s="31"/>
      <c r="L22" s="31"/>
      <c r="M22" s="30"/>
      <c r="N22" s="31"/>
      <c r="O22" s="31">
        <f>14+11+8+18+17+11</f>
        <v>79</v>
      </c>
      <c r="P22" s="31"/>
      <c r="Q22" s="31"/>
      <c r="R22" s="31"/>
      <c r="S22" s="28">
        <f t="shared" si="9"/>
        <v>79</v>
      </c>
      <c r="T22" s="151">
        <v>79</v>
      </c>
      <c r="U22" s="124"/>
      <c r="V22" s="124"/>
      <c r="W22" s="125"/>
      <c r="X22" s="126"/>
      <c r="Y22" s="82">
        <f t="shared" si="10"/>
        <v>0.16200000000000001</v>
      </c>
      <c r="Z22" s="94">
        <v>90</v>
      </c>
      <c r="AA22" s="94">
        <v>60</v>
      </c>
      <c r="AB22" s="94">
        <v>30</v>
      </c>
      <c r="AC22" s="109" t="s">
        <v>309</v>
      </c>
    </row>
    <row r="23" spans="1:32" s="42" customFormat="1" ht="27.75" customHeight="1">
      <c r="A23" s="27">
        <f t="shared" si="11"/>
        <v>20</v>
      </c>
      <c r="B23" s="28" t="s">
        <v>32</v>
      </c>
      <c r="C23" s="27">
        <f>+A23+D23-1</f>
        <v>20</v>
      </c>
      <c r="D23" s="27">
        <f t="shared" ref="D23:D25" si="16">+T23/S23</f>
        <v>1</v>
      </c>
      <c r="E23" s="83" t="s">
        <v>344</v>
      </c>
      <c r="F23" s="31"/>
      <c r="G23" s="31"/>
      <c r="H23" s="31"/>
      <c r="I23" s="31"/>
      <c r="J23" s="31"/>
      <c r="K23" s="31"/>
      <c r="L23" s="31"/>
      <c r="M23" s="30"/>
      <c r="N23" s="31"/>
      <c r="O23" s="31">
        <v>30</v>
      </c>
      <c r="P23" s="31"/>
      <c r="Q23" s="31"/>
      <c r="R23" s="31"/>
      <c r="S23" s="28">
        <f t="shared" ref="S23:S29" si="17">+SUM(F23:R23)</f>
        <v>30</v>
      </c>
      <c r="T23" s="151">
        <v>30</v>
      </c>
      <c r="U23" s="124"/>
      <c r="V23" s="124"/>
      <c r="W23" s="125"/>
      <c r="X23" s="126"/>
      <c r="Y23" s="82">
        <f t="shared" ref="Y23:Y25" si="18">+ROUND(D23*Z23*AA23*AB23/1000000,3)</f>
        <v>0.16200000000000001</v>
      </c>
      <c r="Z23" s="94">
        <v>90</v>
      </c>
      <c r="AA23" s="94">
        <v>60</v>
      </c>
      <c r="AB23" s="94">
        <v>30</v>
      </c>
      <c r="AC23" s="109" t="s">
        <v>309</v>
      </c>
    </row>
    <row r="24" spans="1:32" s="42" customFormat="1" ht="27.75" customHeight="1">
      <c r="A24" s="27">
        <f t="shared" si="11"/>
        <v>21</v>
      </c>
      <c r="B24" s="28" t="s">
        <v>32</v>
      </c>
      <c r="C24" s="27">
        <f>+A24+D24-1</f>
        <v>21</v>
      </c>
      <c r="D24" s="27">
        <f t="shared" si="16"/>
        <v>1</v>
      </c>
      <c r="E24" s="83" t="s">
        <v>257</v>
      </c>
      <c r="F24" s="31"/>
      <c r="G24" s="31"/>
      <c r="H24" s="31"/>
      <c r="I24" s="31"/>
      <c r="J24" s="31"/>
      <c r="K24" s="31"/>
      <c r="L24" s="31">
        <v>59</v>
      </c>
      <c r="M24" s="30"/>
      <c r="N24" s="31"/>
      <c r="O24" s="31"/>
      <c r="P24" s="31"/>
      <c r="Q24" s="31"/>
      <c r="R24" s="31"/>
      <c r="S24" s="28">
        <f t="shared" si="17"/>
        <v>59</v>
      </c>
      <c r="T24" s="151">
        <v>59</v>
      </c>
      <c r="U24" s="124"/>
      <c r="V24" s="124"/>
      <c r="W24" s="125"/>
      <c r="X24" s="126"/>
      <c r="Y24" s="82">
        <f t="shared" si="18"/>
        <v>0.16200000000000001</v>
      </c>
      <c r="Z24" s="94">
        <v>90</v>
      </c>
      <c r="AA24" s="94">
        <v>60</v>
      </c>
      <c r="AB24" s="94">
        <v>30</v>
      </c>
      <c r="AC24" s="109" t="s">
        <v>309</v>
      </c>
    </row>
    <row r="25" spans="1:32" s="42" customFormat="1" ht="27.75" customHeight="1">
      <c r="A25" s="27">
        <f t="shared" si="11"/>
        <v>22</v>
      </c>
      <c r="B25" s="28" t="s">
        <v>32</v>
      </c>
      <c r="C25" s="27">
        <f t="shared" ref="C25" si="19">+A25+D25-1</f>
        <v>22</v>
      </c>
      <c r="D25" s="27">
        <f t="shared" si="16"/>
        <v>1</v>
      </c>
      <c r="E25" s="83" t="s">
        <v>257</v>
      </c>
      <c r="F25" s="31"/>
      <c r="G25" s="31"/>
      <c r="H25" s="31"/>
      <c r="I25" s="31"/>
      <c r="J25" s="31"/>
      <c r="K25" s="31"/>
      <c r="L25" s="31">
        <v>134</v>
      </c>
      <c r="M25" s="30"/>
      <c r="N25" s="31"/>
      <c r="O25" s="31"/>
      <c r="P25" s="31"/>
      <c r="Q25" s="31"/>
      <c r="R25" s="31"/>
      <c r="S25" s="28">
        <f t="shared" si="17"/>
        <v>134</v>
      </c>
      <c r="T25" s="151">
        <v>134</v>
      </c>
      <c r="U25" s="124"/>
      <c r="V25" s="124"/>
      <c r="W25" s="125"/>
      <c r="X25" s="126"/>
      <c r="Y25" s="82">
        <f t="shared" si="18"/>
        <v>0.16200000000000001</v>
      </c>
      <c r="Z25" s="94">
        <v>90</v>
      </c>
      <c r="AA25" s="94">
        <v>60</v>
      </c>
      <c r="AB25" s="94">
        <v>30</v>
      </c>
      <c r="AC25" s="109" t="s">
        <v>309</v>
      </c>
    </row>
    <row r="26" spans="1:32" s="42" customFormat="1" ht="27.75" customHeight="1">
      <c r="A26" s="27">
        <f t="shared" si="11"/>
        <v>23</v>
      </c>
      <c r="B26" s="28" t="s">
        <v>32</v>
      </c>
      <c r="C26" s="27">
        <f t="shared" ref="C26:C30" si="20">+A26+D26-1</f>
        <v>23</v>
      </c>
      <c r="D26" s="27">
        <f t="shared" ref="D26:D30" si="21">+T26/S26</f>
        <v>1</v>
      </c>
      <c r="E26" s="83" t="s">
        <v>257</v>
      </c>
      <c r="F26" s="31"/>
      <c r="G26" s="31"/>
      <c r="H26" s="31"/>
      <c r="I26" s="31"/>
      <c r="J26" s="31"/>
      <c r="K26" s="31"/>
      <c r="L26" s="31">
        <v>140</v>
      </c>
      <c r="M26" s="30"/>
      <c r="N26" s="31"/>
      <c r="O26" s="31"/>
      <c r="P26" s="31"/>
      <c r="Q26" s="31"/>
      <c r="R26" s="31"/>
      <c r="S26" s="28">
        <f t="shared" si="17"/>
        <v>140</v>
      </c>
      <c r="T26" s="151">
        <v>140</v>
      </c>
      <c r="U26" s="124"/>
      <c r="V26" s="124"/>
      <c r="W26" s="125"/>
      <c r="X26" s="126"/>
      <c r="Y26" s="82">
        <f t="shared" ref="Y26:Y30" si="22">+ROUND(D26*Z26*AA26*AB26/1000000,3)</f>
        <v>0.16200000000000001</v>
      </c>
      <c r="Z26" s="94">
        <v>90</v>
      </c>
      <c r="AA26" s="94">
        <v>60</v>
      </c>
      <c r="AB26" s="94">
        <v>30</v>
      </c>
      <c r="AC26" s="109" t="s">
        <v>309</v>
      </c>
    </row>
    <row r="27" spans="1:32" s="42" customFormat="1" ht="27.75" customHeight="1">
      <c r="A27" s="27">
        <f t="shared" si="11"/>
        <v>24</v>
      </c>
      <c r="B27" s="28" t="s">
        <v>32</v>
      </c>
      <c r="C27" s="27">
        <f t="shared" si="20"/>
        <v>24</v>
      </c>
      <c r="D27" s="27">
        <f t="shared" si="21"/>
        <v>1</v>
      </c>
      <c r="E27" s="83" t="s">
        <v>257</v>
      </c>
      <c r="F27" s="31"/>
      <c r="G27" s="31"/>
      <c r="H27" s="31"/>
      <c r="I27" s="31"/>
      <c r="J27" s="31">
        <v>133</v>
      </c>
      <c r="K27" s="31"/>
      <c r="L27" s="31"/>
      <c r="M27" s="30"/>
      <c r="N27" s="31"/>
      <c r="O27" s="31"/>
      <c r="P27" s="31"/>
      <c r="Q27" s="31"/>
      <c r="R27" s="31"/>
      <c r="S27" s="28">
        <f t="shared" si="17"/>
        <v>133</v>
      </c>
      <c r="T27" s="151">
        <v>133</v>
      </c>
      <c r="U27" s="124"/>
      <c r="V27" s="124"/>
      <c r="W27" s="125"/>
      <c r="X27" s="126"/>
      <c r="Y27" s="82">
        <f t="shared" si="22"/>
        <v>0.16200000000000001</v>
      </c>
      <c r="Z27" s="94">
        <v>90</v>
      </c>
      <c r="AA27" s="94">
        <v>60</v>
      </c>
      <c r="AB27" s="94">
        <v>30</v>
      </c>
      <c r="AC27" s="109" t="s">
        <v>309</v>
      </c>
    </row>
    <row r="28" spans="1:32" s="42" customFormat="1" ht="27.75" customHeight="1">
      <c r="A28" s="27">
        <f t="shared" si="11"/>
        <v>25</v>
      </c>
      <c r="B28" s="28" t="s">
        <v>32</v>
      </c>
      <c r="C28" s="27">
        <f t="shared" si="20"/>
        <v>25</v>
      </c>
      <c r="D28" s="27">
        <f t="shared" si="21"/>
        <v>1</v>
      </c>
      <c r="E28" s="83" t="s">
        <v>257</v>
      </c>
      <c r="F28" s="31"/>
      <c r="G28" s="31"/>
      <c r="H28" s="31"/>
      <c r="I28" s="31"/>
      <c r="J28" s="31">
        <v>28</v>
      </c>
      <c r="K28" s="31">
        <v>104</v>
      </c>
      <c r="L28" s="31"/>
      <c r="M28" s="30">
        <v>13</v>
      </c>
      <c r="N28" s="31"/>
      <c r="O28" s="31"/>
      <c r="P28" s="31"/>
      <c r="Q28" s="31"/>
      <c r="R28" s="31"/>
      <c r="S28" s="28">
        <f t="shared" si="17"/>
        <v>145</v>
      </c>
      <c r="T28" s="151">
        <v>145</v>
      </c>
      <c r="U28" s="124"/>
      <c r="V28" s="124"/>
      <c r="W28" s="125"/>
      <c r="X28" s="126"/>
      <c r="Y28" s="82">
        <f t="shared" si="22"/>
        <v>0.16200000000000001</v>
      </c>
      <c r="Z28" s="94">
        <v>90</v>
      </c>
      <c r="AA28" s="94">
        <v>60</v>
      </c>
      <c r="AB28" s="94">
        <v>30</v>
      </c>
      <c r="AC28" s="109" t="s">
        <v>309</v>
      </c>
    </row>
    <row r="29" spans="1:32" s="42" customFormat="1" ht="27.75" customHeight="1">
      <c r="A29" s="27">
        <f t="shared" si="11"/>
        <v>26</v>
      </c>
      <c r="B29" s="28" t="s">
        <v>32</v>
      </c>
      <c r="C29" s="27">
        <f t="shared" si="20"/>
        <v>26</v>
      </c>
      <c r="D29" s="27">
        <f t="shared" si="21"/>
        <v>1</v>
      </c>
      <c r="E29" s="83" t="s">
        <v>257</v>
      </c>
      <c r="F29" s="31"/>
      <c r="G29" s="31"/>
      <c r="H29" s="31"/>
      <c r="I29" s="31"/>
      <c r="J29" s="31"/>
      <c r="K29" s="31">
        <v>41</v>
      </c>
      <c r="L29" s="31">
        <v>62</v>
      </c>
      <c r="M29" s="30">
        <v>6</v>
      </c>
      <c r="N29" s="31">
        <v>7</v>
      </c>
      <c r="O29" s="31"/>
      <c r="P29" s="31"/>
      <c r="Q29" s="31"/>
      <c r="R29" s="31"/>
      <c r="S29" s="28">
        <f t="shared" si="17"/>
        <v>116</v>
      </c>
      <c r="T29" s="151">
        <v>116</v>
      </c>
      <c r="U29" s="124"/>
      <c r="V29" s="124"/>
      <c r="W29" s="125"/>
      <c r="X29" s="126"/>
      <c r="Y29" s="82">
        <f t="shared" si="22"/>
        <v>0.16200000000000001</v>
      </c>
      <c r="Z29" s="94">
        <v>90</v>
      </c>
      <c r="AA29" s="94">
        <v>60</v>
      </c>
      <c r="AB29" s="94">
        <v>30</v>
      </c>
      <c r="AC29" s="109" t="s">
        <v>309</v>
      </c>
    </row>
    <row r="30" spans="1:32" s="42" customFormat="1" ht="27.75" customHeight="1">
      <c r="A30" s="27">
        <f t="shared" si="11"/>
        <v>27</v>
      </c>
      <c r="B30" s="28" t="s">
        <v>32</v>
      </c>
      <c r="C30" s="27">
        <f t="shared" si="20"/>
        <v>27</v>
      </c>
      <c r="D30" s="27">
        <f t="shared" si="21"/>
        <v>1</v>
      </c>
      <c r="E30" s="83" t="s">
        <v>249</v>
      </c>
      <c r="F30" s="31"/>
      <c r="G30" s="31"/>
      <c r="H30" s="31"/>
      <c r="I30" s="31"/>
      <c r="J30" s="31"/>
      <c r="K30" s="31"/>
      <c r="L30" s="31"/>
      <c r="M30" s="30"/>
      <c r="N30" s="31"/>
      <c r="O30" s="31">
        <v>49</v>
      </c>
      <c r="P30" s="30"/>
      <c r="Q30" s="30"/>
      <c r="R30" s="30"/>
      <c r="S30" s="28">
        <f t="shared" si="5"/>
        <v>49</v>
      </c>
      <c r="T30" s="151">
        <v>49</v>
      </c>
      <c r="U30" s="124"/>
      <c r="V30" s="124"/>
      <c r="W30" s="125"/>
      <c r="X30" s="126"/>
      <c r="Y30" s="82">
        <f t="shared" si="22"/>
        <v>0.16200000000000001</v>
      </c>
      <c r="Z30" s="94">
        <v>90</v>
      </c>
      <c r="AA30" s="94">
        <v>60</v>
      </c>
      <c r="AB30" s="94">
        <v>30</v>
      </c>
      <c r="AC30" s="109" t="s">
        <v>309</v>
      </c>
    </row>
    <row r="31" spans="1:32" s="42" customFormat="1" ht="24" customHeight="1">
      <c r="A31" s="219" t="s">
        <v>33</v>
      </c>
      <c r="B31" s="220"/>
      <c r="C31" s="221"/>
      <c r="D31" s="44">
        <f>SUM(D16:D30)</f>
        <v>27</v>
      </c>
      <c r="E31" s="45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8"/>
      <c r="T31" s="44">
        <f>SUM(T16:T30)</f>
        <v>1391</v>
      </c>
      <c r="U31" s="49"/>
      <c r="V31" s="49"/>
      <c r="W31" s="51">
        <f t="shared" ref="W31:X31" si="23">SUM(W16:W30)</f>
        <v>0</v>
      </c>
      <c r="X31" s="51">
        <f t="shared" si="23"/>
        <v>0</v>
      </c>
      <c r="Y31" s="51">
        <f>SUM(Y16:Y30)</f>
        <v>4.355999999999999</v>
      </c>
      <c r="Z31" s="52"/>
      <c r="AA31" s="3"/>
      <c r="AB31" s="53"/>
      <c r="AC31" s="8"/>
      <c r="AF31" s="110"/>
    </row>
    <row r="32" spans="1:32" s="42" customFormat="1" ht="12.75" customHeight="1">
      <c r="A32" s="54"/>
      <c r="B32" s="22"/>
      <c r="C32" s="22"/>
      <c r="D32" s="55"/>
      <c r="E32" s="55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6"/>
      <c r="T32" s="57"/>
      <c r="U32" s="22"/>
      <c r="V32" s="22"/>
      <c r="W32" s="57"/>
      <c r="X32" s="57"/>
      <c r="Y32" s="58"/>
      <c r="Z32" s="3"/>
      <c r="AA32" s="3"/>
      <c r="AB32" s="53"/>
      <c r="AC32" s="8"/>
    </row>
    <row r="33" spans="20:24">
      <c r="X33" s="74"/>
    </row>
    <row r="36" spans="20:24">
      <c r="T36" s="75"/>
      <c r="U36" s="76"/>
      <c r="V36" s="76"/>
      <c r="W36" s="76"/>
    </row>
    <row r="37" spans="20:24">
      <c r="T37" s="76"/>
      <c r="U37" s="76"/>
      <c r="V37" s="76"/>
      <c r="W37" s="76"/>
    </row>
    <row r="38" spans="20:24">
      <c r="T38" s="76"/>
      <c r="U38" s="76"/>
      <c r="V38" s="76"/>
      <c r="W38" s="76"/>
    </row>
    <row r="39" spans="20:24">
      <c r="T39" s="76"/>
      <c r="U39" s="76"/>
      <c r="V39" s="76"/>
      <c r="W39" s="76"/>
    </row>
    <row r="40" spans="20:24">
      <c r="T40" s="76"/>
      <c r="U40" s="76"/>
      <c r="V40" s="76"/>
      <c r="W40" s="76"/>
    </row>
    <row r="41" spans="20:24">
      <c r="U41" s="76"/>
      <c r="V41" s="76"/>
      <c r="W41" s="76"/>
    </row>
  </sheetData>
  <autoFilter ref="A15:DD17">
    <filterColumn colId="0" showButton="0"/>
    <filterColumn colId="1" showButton="0"/>
  </autoFilter>
  <mergeCells count="30">
    <mergeCell ref="D10:E10"/>
    <mergeCell ref="A1:AB1"/>
    <mergeCell ref="A2:AB2"/>
    <mergeCell ref="A3:AB3"/>
    <mergeCell ref="A4:AB4"/>
    <mergeCell ref="A6:AB6"/>
    <mergeCell ref="C12:D12"/>
    <mergeCell ref="A13:C15"/>
    <mergeCell ref="D13:D15"/>
    <mergeCell ref="E13:E15"/>
    <mergeCell ref="F13:R13"/>
    <mergeCell ref="L14:L15"/>
    <mergeCell ref="M14:M15"/>
    <mergeCell ref="N14:N15"/>
    <mergeCell ref="O14:O15"/>
    <mergeCell ref="A31:C31"/>
    <mergeCell ref="T13:T15"/>
    <mergeCell ref="Y13:Y15"/>
    <mergeCell ref="Z13:AB14"/>
    <mergeCell ref="AC13:AC15"/>
    <mergeCell ref="F14:F15"/>
    <mergeCell ref="G14:G15"/>
    <mergeCell ref="H14:H15"/>
    <mergeCell ref="I14:I15"/>
    <mergeCell ref="J14:J15"/>
    <mergeCell ref="K14:K15"/>
    <mergeCell ref="S13:S15"/>
    <mergeCell ref="P14:P15"/>
    <mergeCell ref="Q14:Q15"/>
    <mergeCell ref="R14:R15"/>
  </mergeCells>
  <printOptions horizontalCentered="1"/>
  <pageMargins left="0" right="0" top="0" bottom="0" header="0" footer="0"/>
  <pageSetup scale="4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19" activePane="bottomRight" state="frozen"/>
      <selection pane="topRight" activeCell="H1" sqref="H1"/>
      <selection pane="bottomLeft" activeCell="A13" sqref="A13"/>
      <selection pane="bottomRight" activeCell="E7" sqref="E7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9.7109375" style="73" customWidth="1"/>
    <col min="22" max="22" width="9.85546875" style="73" customWidth="1"/>
    <col min="23" max="24" width="14" style="73" customWidth="1"/>
    <col min="25" max="26" width="11.28515625" style="73" customWidth="1"/>
    <col min="27" max="27" width="9.140625" style="73" customWidth="1"/>
    <col min="28" max="28" width="28.7109375" style="73" customWidth="1"/>
    <col min="29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4"/>
    </row>
    <row r="7" spans="1:31" s="6" customFormat="1" ht="18.75" customHeight="1">
      <c r="A7" s="5" t="s">
        <v>6</v>
      </c>
      <c r="C7" s="7"/>
      <c r="D7" s="7" t="s">
        <v>217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4500525959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205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223</v>
      </c>
      <c r="E10" s="273"/>
      <c r="F10" s="273"/>
      <c r="G10" s="10" t="s">
        <v>134</v>
      </c>
      <c r="H10" s="7" t="s">
        <v>208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f>R23</f>
        <v>2004</v>
      </c>
      <c r="D12" s="250"/>
      <c r="E12" s="81"/>
      <c r="F12" s="14"/>
      <c r="G12" s="10"/>
      <c r="H12" s="17" t="s">
        <v>231</v>
      </c>
      <c r="I12" s="17"/>
      <c r="J12" s="6"/>
      <c r="K12" s="6"/>
      <c r="L12" s="6"/>
      <c r="M12" s="6"/>
      <c r="N12" s="6"/>
      <c r="O12" s="18" t="str">
        <f>D9</f>
        <v xml:space="preserve">BI STRETCH ALEXANDER BLAZER 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216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117"/>
      <c r="Y13" s="238" t="s">
        <v>127</v>
      </c>
      <c r="Z13" s="239"/>
      <c r="AA13" s="240"/>
      <c r="AB13" s="224" t="s">
        <v>26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118" t="s">
        <v>218</v>
      </c>
      <c r="Y14" s="241"/>
      <c r="Z14" s="242"/>
      <c r="AA14" s="243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116"/>
      <c r="Y15" s="79" t="s">
        <v>4</v>
      </c>
      <c r="Z15" s="79" t="s">
        <v>30</v>
      </c>
      <c r="AA15" s="79" t="s">
        <v>31</v>
      </c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1" si="0">+A16+D16-1</f>
        <v>31</v>
      </c>
      <c r="D16" s="27">
        <f t="shared" ref="D16:D21" si="1">+R16/Q16</f>
        <v>31</v>
      </c>
      <c r="E16" s="114" t="s">
        <v>224</v>
      </c>
      <c r="F16" s="121" t="str">
        <f>+$D$7</f>
        <v>36TBSDD11F-410-PC</v>
      </c>
      <c r="G16" s="114" t="s">
        <v>204</v>
      </c>
      <c r="H16" s="30">
        <f>+$D$8</f>
        <v>4500525959</v>
      </c>
      <c r="I16" s="31">
        <v>12</v>
      </c>
      <c r="J16" s="31"/>
      <c r="K16" s="31"/>
      <c r="L16" s="31"/>
      <c r="M16" s="31"/>
      <c r="N16" s="30"/>
      <c r="O16" s="30"/>
      <c r="P16" s="30"/>
      <c r="Q16" s="28">
        <f t="shared" ref="Q16:Q21" si="2">+SUM(I16:P16)</f>
        <v>12</v>
      </c>
      <c r="R16" s="114">
        <v>372</v>
      </c>
      <c r="S16" s="115">
        <v>0.59</v>
      </c>
      <c r="T16" s="115">
        <f>S16+0.13</f>
        <v>0.72</v>
      </c>
      <c r="U16" s="105">
        <f>+S16*D16*Q16</f>
        <v>219.48</v>
      </c>
      <c r="V16" s="35">
        <f>+T16*D16*Q16</f>
        <v>267.84000000000003</v>
      </c>
      <c r="W16" s="120">
        <f>+ROUND(D16*Y16*Z16*AA16/1000000,3)</f>
        <v>0.70799999999999996</v>
      </c>
      <c r="X16" s="120" t="s">
        <v>135</v>
      </c>
      <c r="Y16" s="122">
        <f>16*2.54</f>
        <v>40.64</v>
      </c>
      <c r="Z16" s="122">
        <f>13*2.54</f>
        <v>33.020000000000003</v>
      </c>
      <c r="AA16" s="122">
        <f>6.7*2.54</f>
        <v>17.018000000000001</v>
      </c>
      <c r="AB16" s="123" t="s">
        <v>219</v>
      </c>
      <c r="AD16" s="42">
        <f>0.4191*2+0.3366*4+0.12*12</f>
        <v>3.6246</v>
      </c>
      <c r="AE16" s="42">
        <f t="shared" ref="AE16:AE21" si="3">AD16*D16</f>
        <v>112.3626</v>
      </c>
    </row>
    <row r="17" spans="1:32" s="42" customFormat="1" ht="27.75" customHeight="1">
      <c r="A17" s="27">
        <f>+C16+1</f>
        <v>32</v>
      </c>
      <c r="B17" s="28" t="s">
        <v>32</v>
      </c>
      <c r="C17" s="27">
        <f t="shared" si="0"/>
        <v>55</v>
      </c>
      <c r="D17" s="27">
        <f t="shared" si="1"/>
        <v>24</v>
      </c>
      <c r="E17" s="114" t="s">
        <v>225</v>
      </c>
      <c r="F17" s="121" t="str">
        <f t="shared" ref="F17:F22" si="4">+$D$7</f>
        <v>36TBSDD11F-410-PC</v>
      </c>
      <c r="G17" s="114" t="str">
        <f>$G$16</f>
        <v>410 MAST NAVY</v>
      </c>
      <c r="H17" s="30">
        <f t="shared" ref="H17:H22" si="5">+$D$8</f>
        <v>4500525959</v>
      </c>
      <c r="I17" s="31"/>
      <c r="J17" s="31">
        <v>12</v>
      </c>
      <c r="K17" s="31"/>
      <c r="L17" s="31"/>
      <c r="M17" s="31"/>
      <c r="N17" s="30"/>
      <c r="O17" s="30"/>
      <c r="P17" s="30"/>
      <c r="Q17" s="28">
        <f t="shared" si="2"/>
        <v>12</v>
      </c>
      <c r="R17" s="114">
        <v>288</v>
      </c>
      <c r="S17" s="115">
        <v>0.6</v>
      </c>
      <c r="T17" s="115">
        <f t="shared" ref="T17:T21" si="6">S17+0.13</f>
        <v>0.73</v>
      </c>
      <c r="U17" s="105">
        <f t="shared" ref="U17:U21" si="7">+S17*D17*Q17</f>
        <v>172.79999999999998</v>
      </c>
      <c r="V17" s="35">
        <f t="shared" ref="V17:V21" si="8">+T17*D17*Q17</f>
        <v>210.24</v>
      </c>
      <c r="W17" s="120">
        <f t="shared" ref="W17:W21" si="9">+ROUND(D17*Y17*Z17*AA17/1000000,3)</f>
        <v>0.63200000000000001</v>
      </c>
      <c r="X17" s="120" t="s">
        <v>135</v>
      </c>
      <c r="Y17" s="122">
        <f>17.13*2.54</f>
        <v>43.510199999999998</v>
      </c>
      <c r="Z17" s="122">
        <f>14*2.54</f>
        <v>35.56</v>
      </c>
      <c r="AA17" s="122">
        <f>6.7*2.54</f>
        <v>17.018000000000001</v>
      </c>
      <c r="AB17" s="123" t="s">
        <v>220</v>
      </c>
      <c r="AD17" s="42">
        <f>0.4445*2+0.3683*4+0.12*12</f>
        <v>3.8022</v>
      </c>
      <c r="AE17" s="42">
        <f t="shared" si="3"/>
        <v>91.252800000000008</v>
      </c>
    </row>
    <row r="18" spans="1:32" s="42" customFormat="1" ht="27.75" customHeight="1">
      <c r="A18" s="27">
        <f t="shared" ref="A18:A21" si="10">+C17+1</f>
        <v>56</v>
      </c>
      <c r="B18" s="28" t="s">
        <v>32</v>
      </c>
      <c r="C18" s="27">
        <f t="shared" si="0"/>
        <v>76</v>
      </c>
      <c r="D18" s="27">
        <f t="shared" si="1"/>
        <v>21</v>
      </c>
      <c r="E18" s="114" t="s">
        <v>226</v>
      </c>
      <c r="F18" s="121" t="str">
        <f t="shared" si="4"/>
        <v>36TBSDD11F-410-PC</v>
      </c>
      <c r="G18" s="114" t="str">
        <f t="shared" ref="G18:G22" si="11">$G$16</f>
        <v>410 MAST NAVY</v>
      </c>
      <c r="H18" s="30">
        <f t="shared" si="5"/>
        <v>4500525959</v>
      </c>
      <c r="I18" s="31"/>
      <c r="J18" s="31"/>
      <c r="K18" s="31">
        <v>12</v>
      </c>
      <c r="L18" s="31"/>
      <c r="M18" s="31"/>
      <c r="N18" s="30"/>
      <c r="O18" s="30"/>
      <c r="P18" s="30"/>
      <c r="Q18" s="28">
        <f t="shared" si="2"/>
        <v>12</v>
      </c>
      <c r="R18" s="114">
        <v>252</v>
      </c>
      <c r="S18" s="115">
        <v>0.65</v>
      </c>
      <c r="T18" s="115">
        <f t="shared" si="6"/>
        <v>0.78</v>
      </c>
      <c r="U18" s="105">
        <f t="shared" si="7"/>
        <v>163.80000000000001</v>
      </c>
      <c r="V18" s="35">
        <f t="shared" si="8"/>
        <v>196.56</v>
      </c>
      <c r="W18" s="120">
        <f t="shared" si="9"/>
        <v>0.55300000000000005</v>
      </c>
      <c r="X18" s="120" t="s">
        <v>135</v>
      </c>
      <c r="Y18" s="122">
        <f>17.13*2.54</f>
        <v>43.510199999999998</v>
      </c>
      <c r="Z18" s="122">
        <f>14*2.54</f>
        <v>35.56</v>
      </c>
      <c r="AA18" s="122">
        <f>6.7*2.54</f>
        <v>17.018000000000001</v>
      </c>
      <c r="AB18" s="123" t="s">
        <v>220</v>
      </c>
      <c r="AD18" s="42">
        <f>0.4445*2+0.3683*4+0.12*12</f>
        <v>3.8022</v>
      </c>
      <c r="AE18" s="42">
        <f t="shared" si="3"/>
        <v>79.846199999999996</v>
      </c>
    </row>
    <row r="19" spans="1:32" s="42" customFormat="1" ht="27.75" customHeight="1">
      <c r="A19" s="27">
        <f t="shared" si="10"/>
        <v>77</v>
      </c>
      <c r="B19" s="28" t="s">
        <v>32</v>
      </c>
      <c r="C19" s="27">
        <f t="shared" si="0"/>
        <v>103</v>
      </c>
      <c r="D19" s="27">
        <f t="shared" si="1"/>
        <v>27</v>
      </c>
      <c r="E19" s="114" t="s">
        <v>227</v>
      </c>
      <c r="F19" s="121" t="str">
        <f t="shared" si="4"/>
        <v>36TBSDD11F-410-PC</v>
      </c>
      <c r="G19" s="114" t="str">
        <f t="shared" si="11"/>
        <v>410 MAST NAVY</v>
      </c>
      <c r="H19" s="30">
        <f t="shared" si="5"/>
        <v>4500525959</v>
      </c>
      <c r="I19" s="31"/>
      <c r="J19" s="31"/>
      <c r="K19" s="31"/>
      <c r="L19" s="31">
        <v>12</v>
      </c>
      <c r="M19" s="31"/>
      <c r="N19" s="30"/>
      <c r="O19" s="30"/>
      <c r="P19" s="30"/>
      <c r="Q19" s="28">
        <f t="shared" si="2"/>
        <v>12</v>
      </c>
      <c r="R19" s="114">
        <v>324</v>
      </c>
      <c r="S19" s="115">
        <v>0.69</v>
      </c>
      <c r="T19" s="115">
        <f t="shared" si="6"/>
        <v>0.82</v>
      </c>
      <c r="U19" s="105">
        <f t="shared" si="7"/>
        <v>223.56</v>
      </c>
      <c r="V19" s="35">
        <f t="shared" si="8"/>
        <v>265.67999999999995</v>
      </c>
      <c r="W19" s="120">
        <f t="shared" si="9"/>
        <v>0.83</v>
      </c>
      <c r="X19" s="120" t="s">
        <v>135</v>
      </c>
      <c r="Y19" s="122">
        <f>15.25*2.54</f>
        <v>38.734999999999999</v>
      </c>
      <c r="Z19" s="122">
        <f>12.5*2.54</f>
        <v>31.75</v>
      </c>
      <c r="AA19" s="122">
        <f>9.84*2.54</f>
        <v>24.993600000000001</v>
      </c>
      <c r="AB19" s="123" t="s">
        <v>221</v>
      </c>
      <c r="AD19" s="42">
        <f>0.5906*2+0.3874*4+0.12*12</f>
        <v>4.1707999999999998</v>
      </c>
      <c r="AE19" s="42">
        <f t="shared" si="3"/>
        <v>112.6116</v>
      </c>
    </row>
    <row r="20" spans="1:32" s="42" customFormat="1" ht="27.75" customHeight="1">
      <c r="A20" s="27">
        <f t="shared" si="10"/>
        <v>104</v>
      </c>
      <c r="B20" s="28" t="s">
        <v>32</v>
      </c>
      <c r="C20" s="27">
        <f t="shared" si="0"/>
        <v>132</v>
      </c>
      <c r="D20" s="27">
        <f t="shared" si="1"/>
        <v>29</v>
      </c>
      <c r="E20" s="114" t="s">
        <v>228</v>
      </c>
      <c r="F20" s="121" t="str">
        <f t="shared" si="4"/>
        <v>36TBSDD11F-410-PC</v>
      </c>
      <c r="G20" s="114" t="str">
        <f t="shared" si="11"/>
        <v>410 MAST NAVY</v>
      </c>
      <c r="H20" s="30">
        <f t="shared" si="5"/>
        <v>4500525959</v>
      </c>
      <c r="I20" s="31"/>
      <c r="J20" s="31"/>
      <c r="K20" s="31"/>
      <c r="L20" s="31"/>
      <c r="M20" s="31">
        <v>12</v>
      </c>
      <c r="N20" s="31"/>
      <c r="O20" s="30"/>
      <c r="P20" s="30"/>
      <c r="Q20" s="28">
        <f t="shared" si="2"/>
        <v>12</v>
      </c>
      <c r="R20" s="114">
        <v>348</v>
      </c>
      <c r="S20" s="115">
        <v>0.7</v>
      </c>
      <c r="T20" s="115">
        <f t="shared" si="6"/>
        <v>0.83</v>
      </c>
      <c r="U20" s="105">
        <f t="shared" si="7"/>
        <v>243.59999999999997</v>
      </c>
      <c r="V20" s="35">
        <f t="shared" si="8"/>
        <v>288.84000000000003</v>
      </c>
      <c r="W20" s="120">
        <f t="shared" si="9"/>
        <v>0.89100000000000001</v>
      </c>
      <c r="X20" s="120" t="s">
        <v>135</v>
      </c>
      <c r="Y20" s="122">
        <f>15.25*2.54</f>
        <v>38.734999999999999</v>
      </c>
      <c r="Z20" s="122">
        <f>12.5*2.54</f>
        <v>31.75</v>
      </c>
      <c r="AA20" s="122">
        <f>9.84*2.54</f>
        <v>24.993600000000001</v>
      </c>
      <c r="AB20" s="123" t="s">
        <v>221</v>
      </c>
      <c r="AD20" s="42">
        <f>0.5906*2+0.3874*4+0.12*12</f>
        <v>4.1707999999999998</v>
      </c>
      <c r="AE20" s="42">
        <f t="shared" si="3"/>
        <v>120.9532</v>
      </c>
    </row>
    <row r="21" spans="1:32" s="42" customFormat="1" ht="27.75" customHeight="1">
      <c r="A21" s="27">
        <f t="shared" si="10"/>
        <v>133</v>
      </c>
      <c r="B21" s="28" t="s">
        <v>32</v>
      </c>
      <c r="C21" s="27">
        <f t="shared" si="0"/>
        <v>152</v>
      </c>
      <c r="D21" s="27">
        <f t="shared" si="1"/>
        <v>20</v>
      </c>
      <c r="E21" s="114" t="s">
        <v>229</v>
      </c>
      <c r="F21" s="121" t="str">
        <f t="shared" si="4"/>
        <v>36TBSDD11F-410-PC</v>
      </c>
      <c r="G21" s="114" t="str">
        <f t="shared" si="11"/>
        <v>410 MAST NAVY</v>
      </c>
      <c r="H21" s="30">
        <f t="shared" si="5"/>
        <v>4500525959</v>
      </c>
      <c r="I21" s="31"/>
      <c r="J21" s="31"/>
      <c r="K21" s="31"/>
      <c r="L21" s="31"/>
      <c r="M21" s="31"/>
      <c r="N21" s="31">
        <v>12</v>
      </c>
      <c r="O21" s="31"/>
      <c r="P21" s="30"/>
      <c r="Q21" s="28">
        <f t="shared" si="2"/>
        <v>12</v>
      </c>
      <c r="R21" s="114">
        <v>240</v>
      </c>
      <c r="S21" s="115">
        <v>0.75</v>
      </c>
      <c r="T21" s="115">
        <f t="shared" si="6"/>
        <v>0.88</v>
      </c>
      <c r="U21" s="105">
        <f t="shared" si="7"/>
        <v>180</v>
      </c>
      <c r="V21" s="35">
        <f t="shared" si="8"/>
        <v>211.20000000000002</v>
      </c>
      <c r="W21" s="120">
        <f t="shared" si="9"/>
        <v>0.70699999999999996</v>
      </c>
      <c r="X21" s="120" t="s">
        <v>135</v>
      </c>
      <c r="Y21" s="122">
        <f>16.25*2.54</f>
        <v>41.274999999999999</v>
      </c>
      <c r="Z21" s="122">
        <f>13.5*2.54</f>
        <v>34.29</v>
      </c>
      <c r="AA21" s="122">
        <f>9.84*2.54</f>
        <v>24.993600000000001</v>
      </c>
      <c r="AB21" s="123" t="s">
        <v>222</v>
      </c>
      <c r="AD21" s="42">
        <f>0.5906*2+0.3874*4+0.12*12</f>
        <v>4.1707999999999998</v>
      </c>
      <c r="AE21" s="42">
        <f t="shared" si="3"/>
        <v>83.415999999999997</v>
      </c>
    </row>
    <row r="22" spans="1:32" s="42" customFormat="1" ht="27.75" customHeight="1">
      <c r="A22" s="27">
        <f t="shared" ref="A22" si="12">+C21+1</f>
        <v>153</v>
      </c>
      <c r="B22" s="28" t="s">
        <v>32</v>
      </c>
      <c r="C22" s="27">
        <f t="shared" ref="C22" si="13">+A22+D22-1</f>
        <v>167</v>
      </c>
      <c r="D22" s="27">
        <f t="shared" ref="D22" si="14">+R22/Q22</f>
        <v>15</v>
      </c>
      <c r="E22" s="114" t="s">
        <v>230</v>
      </c>
      <c r="F22" s="121" t="str">
        <f t="shared" si="4"/>
        <v>36TBSDD11F-410-PC</v>
      </c>
      <c r="G22" s="114" t="str">
        <f t="shared" si="11"/>
        <v>410 MAST NAVY</v>
      </c>
      <c r="H22" s="30">
        <f t="shared" si="5"/>
        <v>4500525959</v>
      </c>
      <c r="I22" s="31"/>
      <c r="J22" s="31"/>
      <c r="K22" s="31"/>
      <c r="L22" s="31"/>
      <c r="M22" s="31"/>
      <c r="N22" s="31"/>
      <c r="O22" s="31">
        <v>12</v>
      </c>
      <c r="P22" s="30"/>
      <c r="Q22" s="28">
        <f t="shared" ref="Q22" si="15">+SUM(I22:P22)</f>
        <v>12</v>
      </c>
      <c r="R22" s="114">
        <v>180</v>
      </c>
      <c r="S22" s="115">
        <v>0.75</v>
      </c>
      <c r="T22" s="115">
        <f t="shared" ref="T22" si="16">S22+0.13</f>
        <v>0.88</v>
      </c>
      <c r="U22" s="105">
        <f t="shared" ref="U22" si="17">+S22*D22*Q22</f>
        <v>135</v>
      </c>
      <c r="V22" s="35">
        <f t="shared" ref="V22" si="18">+T22*D22*Q22</f>
        <v>158.39999999999998</v>
      </c>
      <c r="W22" s="120">
        <f t="shared" ref="W22" si="19">+ROUND(D22*Y22*Z22*AA22/1000000,3)</f>
        <v>0.53100000000000003</v>
      </c>
      <c r="X22" s="120" t="s">
        <v>135</v>
      </c>
      <c r="Y22" s="122">
        <f>16.25*2.54</f>
        <v>41.274999999999999</v>
      </c>
      <c r="Z22" s="122">
        <f>13.5*2.54</f>
        <v>34.29</v>
      </c>
      <c r="AA22" s="122">
        <f>9.84*2.54</f>
        <v>24.993600000000001</v>
      </c>
      <c r="AB22" s="123" t="s">
        <v>222</v>
      </c>
      <c r="AD22" s="42">
        <f>0.5906*2+0.3874*4+0.12*12</f>
        <v>4.1707999999999998</v>
      </c>
      <c r="AE22" s="42">
        <f t="shared" ref="AE22" si="20">AD22*D22</f>
        <v>62.561999999999998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167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2004</v>
      </c>
      <c r="S23" s="49"/>
      <c r="T23" s="49"/>
      <c r="U23" s="106">
        <f>SUM(U16:U22)</f>
        <v>1338.2399999999998</v>
      </c>
      <c r="V23" s="106">
        <f t="shared" ref="V23:W23" si="21">SUM(V16:V22)</f>
        <v>1598.7600000000002</v>
      </c>
      <c r="W23" s="106">
        <f t="shared" si="21"/>
        <v>4.8519999999999994</v>
      </c>
      <c r="X23" s="119"/>
      <c r="Y23" s="52"/>
      <c r="Z23" s="3"/>
      <c r="AA23" s="53"/>
      <c r="AB23" s="8"/>
      <c r="AE23" s="110">
        <f>SUM(AE16:AE20)/86</f>
        <v>6.0119348837209312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58"/>
      <c r="Y24" s="3"/>
      <c r="Z24" s="3"/>
      <c r="AA24" s="53"/>
      <c r="AB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61"/>
      <c r="Y25" s="3"/>
      <c r="Z25" s="3"/>
      <c r="AA25" s="53"/>
      <c r="AB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1"/>
      <c r="AB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/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B27" s="12"/>
    </row>
    <row r="28" spans="1:32" s="64" customFormat="1" ht="23.25" customHeight="1">
      <c r="B28" s="65"/>
      <c r="C28" s="65"/>
      <c r="D28" s="65"/>
      <c r="E28" s="65"/>
      <c r="F28" s="107" t="str">
        <f>+F16</f>
        <v>36TBSDD11F-410-PC</v>
      </c>
      <c r="G28" s="107" t="str">
        <f>+G16</f>
        <v>410 MAST NAVY</v>
      </c>
      <c r="H28" s="68">
        <f>+H16</f>
        <v>4500525959</v>
      </c>
      <c r="I28" s="86">
        <f t="shared" ref="I28:O28" si="22">+I16*$D$16</f>
        <v>372</v>
      </c>
      <c r="J28" s="86">
        <f t="shared" si="22"/>
        <v>0</v>
      </c>
      <c r="K28" s="86">
        <f t="shared" si="22"/>
        <v>0</v>
      </c>
      <c r="L28" s="86">
        <f t="shared" si="22"/>
        <v>0</v>
      </c>
      <c r="M28" s="86">
        <f t="shared" si="22"/>
        <v>0</v>
      </c>
      <c r="N28" s="86">
        <f t="shared" si="22"/>
        <v>0</v>
      </c>
      <c r="O28" s="86">
        <f t="shared" si="22"/>
        <v>0</v>
      </c>
      <c r="P28" s="86">
        <f>+$I$16*K16</f>
        <v>0</v>
      </c>
      <c r="Q28" s="71">
        <f>SUM(I28:O28)</f>
        <v>372</v>
      </c>
      <c r="R28" s="62"/>
      <c r="S28" s="62"/>
      <c r="T28" s="62"/>
      <c r="U28" s="62"/>
      <c r="V28" s="62"/>
      <c r="W28" s="61"/>
      <c r="X28" s="61"/>
      <c r="AB28" s="12"/>
    </row>
    <row r="29" spans="1:32" s="64" customFormat="1" ht="23.25" customHeight="1">
      <c r="B29" s="65"/>
      <c r="C29" s="65"/>
      <c r="D29" s="65"/>
      <c r="E29" s="65"/>
      <c r="F29" s="107" t="str">
        <f>+F28</f>
        <v>36TBSDD11F-410-PC</v>
      </c>
      <c r="G29" s="107" t="str">
        <f>+G28</f>
        <v>410 MAST NAVY</v>
      </c>
      <c r="H29" s="68">
        <f>+H28</f>
        <v>4500525959</v>
      </c>
      <c r="I29" s="86">
        <f t="shared" ref="I29:O29" si="23">+I17*$D$17</f>
        <v>0</v>
      </c>
      <c r="J29" s="86">
        <f t="shared" si="23"/>
        <v>288</v>
      </c>
      <c r="K29" s="86">
        <f t="shared" si="23"/>
        <v>0</v>
      </c>
      <c r="L29" s="86">
        <f t="shared" si="23"/>
        <v>0</v>
      </c>
      <c r="M29" s="86">
        <f t="shared" si="23"/>
        <v>0</v>
      </c>
      <c r="N29" s="86">
        <f t="shared" si="23"/>
        <v>0</v>
      </c>
      <c r="O29" s="86">
        <f t="shared" si="23"/>
        <v>0</v>
      </c>
      <c r="P29" s="69">
        <v>0</v>
      </c>
      <c r="Q29" s="71">
        <f t="shared" ref="Q29:Q33" si="24">SUM(I29:O29)</f>
        <v>288</v>
      </c>
      <c r="R29" s="62"/>
      <c r="S29" s="62"/>
      <c r="T29" s="62"/>
      <c r="U29" s="62"/>
      <c r="V29" s="62"/>
      <c r="W29" s="61"/>
      <c r="X29" s="61"/>
      <c r="AB29" s="12"/>
    </row>
    <row r="30" spans="1:32" s="64" customFormat="1" ht="23.25" customHeight="1">
      <c r="B30" s="65"/>
      <c r="C30" s="65"/>
      <c r="D30" s="65"/>
      <c r="E30" s="65"/>
      <c r="F30" s="107" t="str">
        <f>+F16</f>
        <v>36TBSDD11F-410-PC</v>
      </c>
      <c r="G30" s="107" t="str">
        <f>+G16</f>
        <v>410 MAST NAVY</v>
      </c>
      <c r="H30" s="68">
        <f>+H16</f>
        <v>4500525959</v>
      </c>
      <c r="I30" s="86">
        <f t="shared" ref="I30:O30" si="25">+I18*$D$18</f>
        <v>0</v>
      </c>
      <c r="J30" s="86">
        <f t="shared" si="25"/>
        <v>0</v>
      </c>
      <c r="K30" s="86">
        <f t="shared" si="25"/>
        <v>252</v>
      </c>
      <c r="L30" s="86">
        <f t="shared" si="25"/>
        <v>0</v>
      </c>
      <c r="M30" s="86">
        <f t="shared" si="25"/>
        <v>0</v>
      </c>
      <c r="N30" s="86">
        <f t="shared" si="25"/>
        <v>0</v>
      </c>
      <c r="O30" s="86">
        <f t="shared" si="25"/>
        <v>0</v>
      </c>
      <c r="P30" s="69">
        <v>0</v>
      </c>
      <c r="Q30" s="71">
        <f t="shared" si="24"/>
        <v>252</v>
      </c>
      <c r="R30" s="62"/>
      <c r="S30" s="62"/>
      <c r="T30" s="62"/>
      <c r="U30" s="62"/>
      <c r="V30" s="62"/>
      <c r="W30" s="61"/>
      <c r="X30" s="61"/>
      <c r="AB30" s="12"/>
    </row>
    <row r="31" spans="1:32" s="64" customFormat="1" ht="23.25" customHeight="1">
      <c r="B31" s="65"/>
      <c r="C31" s="65"/>
      <c r="D31" s="65"/>
      <c r="E31" s="65"/>
      <c r="F31" s="107" t="str">
        <f>+F19</f>
        <v>36TBSDD11F-410-PC</v>
      </c>
      <c r="G31" s="107" t="str">
        <f>+G19</f>
        <v>410 MAST NAVY</v>
      </c>
      <c r="H31" s="68">
        <f>+H19</f>
        <v>4500525959</v>
      </c>
      <c r="I31" s="86">
        <f t="shared" ref="I31:O31" si="26">+I19*$D$19</f>
        <v>0</v>
      </c>
      <c r="J31" s="86">
        <f t="shared" si="26"/>
        <v>0</v>
      </c>
      <c r="K31" s="86">
        <f t="shared" si="26"/>
        <v>0</v>
      </c>
      <c r="L31" s="86">
        <f t="shared" si="26"/>
        <v>324</v>
      </c>
      <c r="M31" s="86">
        <f t="shared" si="26"/>
        <v>0</v>
      </c>
      <c r="N31" s="86">
        <f t="shared" si="26"/>
        <v>0</v>
      </c>
      <c r="O31" s="86">
        <f t="shared" si="26"/>
        <v>0</v>
      </c>
      <c r="P31" s="70"/>
      <c r="Q31" s="71">
        <f t="shared" si="24"/>
        <v>324</v>
      </c>
      <c r="R31" s="62"/>
      <c r="S31" s="62"/>
      <c r="T31" s="62"/>
      <c r="U31" s="62"/>
      <c r="V31" s="62"/>
      <c r="W31" s="61"/>
      <c r="X31" s="61"/>
      <c r="AB31" s="12"/>
    </row>
    <row r="32" spans="1:32" s="64" customFormat="1" ht="23.25" customHeight="1">
      <c r="B32" s="65"/>
      <c r="C32" s="65"/>
      <c r="D32" s="65"/>
      <c r="E32" s="65"/>
      <c r="F32" s="107" t="str">
        <f>+F31</f>
        <v>36TBSDD11F-410-PC</v>
      </c>
      <c r="G32" s="107" t="str">
        <f>+G31</f>
        <v>410 MAST NAVY</v>
      </c>
      <c r="H32" s="68">
        <f>+H18</f>
        <v>4500525959</v>
      </c>
      <c r="I32" s="86">
        <f t="shared" ref="I32:O32" si="27">+I20*$D$20</f>
        <v>0</v>
      </c>
      <c r="J32" s="86">
        <f t="shared" si="27"/>
        <v>0</v>
      </c>
      <c r="K32" s="86">
        <f t="shared" si="27"/>
        <v>0</v>
      </c>
      <c r="L32" s="86">
        <f t="shared" si="27"/>
        <v>0</v>
      </c>
      <c r="M32" s="86">
        <f t="shared" si="27"/>
        <v>348</v>
      </c>
      <c r="N32" s="86">
        <f t="shared" si="27"/>
        <v>0</v>
      </c>
      <c r="O32" s="86">
        <f t="shared" si="27"/>
        <v>0</v>
      </c>
      <c r="P32" s="69">
        <v>0</v>
      </c>
      <c r="Q32" s="71">
        <f t="shared" si="24"/>
        <v>348</v>
      </c>
      <c r="R32" s="62"/>
      <c r="S32" s="62"/>
      <c r="T32" s="62"/>
      <c r="U32" s="62"/>
      <c r="V32" s="62"/>
      <c r="W32" s="61"/>
      <c r="X32" s="61"/>
      <c r="AB32" s="12"/>
    </row>
    <row r="33" spans="1:28" s="64" customFormat="1" ht="23.25" customHeight="1">
      <c r="B33" s="65"/>
      <c r="C33" s="65"/>
      <c r="D33" s="65"/>
      <c r="E33" s="65"/>
      <c r="F33" s="107" t="str">
        <f t="shared" ref="F33:H34" si="28">+F21</f>
        <v>36TBSDD11F-410-PC</v>
      </c>
      <c r="G33" s="107" t="str">
        <f t="shared" si="28"/>
        <v>410 MAST NAVY</v>
      </c>
      <c r="H33" s="68">
        <f t="shared" si="28"/>
        <v>4500525959</v>
      </c>
      <c r="I33" s="86">
        <f t="shared" ref="I33:O34" si="29">+I21*$D$21</f>
        <v>0</v>
      </c>
      <c r="J33" s="86">
        <f t="shared" si="29"/>
        <v>0</v>
      </c>
      <c r="K33" s="86">
        <f t="shared" si="29"/>
        <v>0</v>
      </c>
      <c r="L33" s="86">
        <f t="shared" si="29"/>
        <v>0</v>
      </c>
      <c r="M33" s="86">
        <f t="shared" si="29"/>
        <v>0</v>
      </c>
      <c r="N33" s="86">
        <f t="shared" si="29"/>
        <v>240</v>
      </c>
      <c r="O33" s="86">
        <f t="shared" si="29"/>
        <v>0</v>
      </c>
      <c r="P33" s="70"/>
      <c r="Q33" s="71">
        <f t="shared" si="24"/>
        <v>240</v>
      </c>
      <c r="R33" s="62"/>
      <c r="S33" s="62"/>
      <c r="T33" s="62"/>
      <c r="U33" s="62"/>
      <c r="V33" s="62"/>
      <c r="W33" s="61"/>
      <c r="X33" s="61"/>
      <c r="AB33" s="12"/>
    </row>
    <row r="34" spans="1:28" s="64" customFormat="1" ht="23.25" customHeight="1">
      <c r="B34" s="65"/>
      <c r="C34" s="65"/>
      <c r="D34" s="65"/>
      <c r="E34" s="65"/>
      <c r="F34" s="107" t="str">
        <f t="shared" si="28"/>
        <v>36TBSDD11F-410-PC</v>
      </c>
      <c r="G34" s="107" t="str">
        <f t="shared" si="28"/>
        <v>410 MAST NAVY</v>
      </c>
      <c r="H34" s="68">
        <f t="shared" si="28"/>
        <v>4500525959</v>
      </c>
      <c r="I34" s="86">
        <f t="shared" si="29"/>
        <v>0</v>
      </c>
      <c r="J34" s="86">
        <f t="shared" si="29"/>
        <v>0</v>
      </c>
      <c r="K34" s="86">
        <f t="shared" si="29"/>
        <v>0</v>
      </c>
      <c r="L34" s="86">
        <f t="shared" si="29"/>
        <v>0</v>
      </c>
      <c r="M34" s="86">
        <f t="shared" si="29"/>
        <v>0</v>
      </c>
      <c r="N34" s="86">
        <f t="shared" si="29"/>
        <v>0</v>
      </c>
      <c r="O34" s="86">
        <f>+O22*$D$22</f>
        <v>180</v>
      </c>
      <c r="P34" s="70"/>
      <c r="Q34" s="71">
        <f t="shared" ref="Q34" si="30">SUM(I34:O34)</f>
        <v>180</v>
      </c>
      <c r="R34" s="62"/>
      <c r="S34" s="62"/>
      <c r="T34" s="62"/>
      <c r="U34" s="62"/>
      <c r="V34" s="62"/>
      <c r="W34" s="61"/>
      <c r="X34" s="61"/>
      <c r="AB34" s="12"/>
    </row>
    <row r="35" spans="1:28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 t="shared" ref="I35:N35" si="31">SUM(I28:I33)</f>
        <v>372</v>
      </c>
      <c r="J35" s="71">
        <f t="shared" si="31"/>
        <v>288</v>
      </c>
      <c r="K35" s="71">
        <f t="shared" si="31"/>
        <v>252</v>
      </c>
      <c r="L35" s="71">
        <f t="shared" si="31"/>
        <v>324</v>
      </c>
      <c r="M35" s="71">
        <f t="shared" si="31"/>
        <v>348</v>
      </c>
      <c r="N35" s="71">
        <f t="shared" si="31"/>
        <v>240</v>
      </c>
      <c r="O35" s="71">
        <f>SUM(O28:O34)</f>
        <v>180</v>
      </c>
      <c r="P35" s="71"/>
      <c r="Q35" s="71">
        <f>SUM(I35:P35)</f>
        <v>2004</v>
      </c>
      <c r="R35" s="62"/>
      <c r="S35" s="63"/>
      <c r="T35" s="62"/>
      <c r="U35" s="62"/>
      <c r="V35" s="62"/>
      <c r="W35" s="61"/>
      <c r="X35" s="61"/>
    </row>
    <row r="36" spans="1:28">
      <c r="V36" s="74"/>
    </row>
    <row r="37" spans="1:28">
      <c r="G37" s="108" t="s">
        <v>0</v>
      </c>
    </row>
    <row r="39" spans="1:28">
      <c r="R39" s="75"/>
      <c r="S39" s="76"/>
      <c r="T39" s="76"/>
      <c r="U39" s="76"/>
    </row>
    <row r="40" spans="1:28">
      <c r="R40" s="76"/>
      <c r="S40" s="76"/>
      <c r="T40" s="76"/>
      <c r="U40" s="76"/>
    </row>
    <row r="41" spans="1:28">
      <c r="R41" s="76"/>
      <c r="S41" s="76"/>
      <c r="T41" s="76"/>
      <c r="U41" s="76"/>
    </row>
    <row r="42" spans="1:28">
      <c r="G42" s="77"/>
      <c r="R42" s="76"/>
      <c r="S42" s="76"/>
      <c r="T42" s="76"/>
      <c r="U42" s="76"/>
    </row>
    <row r="43" spans="1:28">
      <c r="G43" s="78"/>
      <c r="R43" s="76"/>
      <c r="S43" s="76"/>
      <c r="T43" s="76"/>
      <c r="U43" s="76"/>
    </row>
    <row r="44" spans="1:28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0">
    <mergeCell ref="G13:G15"/>
    <mergeCell ref="A1:AA1"/>
    <mergeCell ref="A2:AA2"/>
    <mergeCell ref="A3:AA3"/>
    <mergeCell ref="A4:AA4"/>
    <mergeCell ref="A6:AA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Y13:AA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19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141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133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146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888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8" t="s">
        <v>133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6</v>
      </c>
      <c r="D16" s="27">
        <f t="shared" ref="D16:D22" si="1">+R16/Q16</f>
        <v>6</v>
      </c>
      <c r="E16" s="28" t="s">
        <v>154</v>
      </c>
      <c r="F16" s="83" t="str">
        <f>+$D$7</f>
        <v>36K821301-001-PC</v>
      </c>
      <c r="G16" s="28" t="s">
        <v>142</v>
      </c>
      <c r="H16" s="30">
        <f>+$D$8</f>
        <v>4500505877</v>
      </c>
      <c r="I16" s="31">
        <v>12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12</v>
      </c>
      <c r="R16" s="28">
        <v>72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 t="s">
        <v>136</v>
      </c>
      <c r="AB16" s="42" t="s">
        <v>135</v>
      </c>
      <c r="AD16" s="42">
        <f>0.4191*2+0.3366*4+0.12*12</f>
        <v>3.6246</v>
      </c>
      <c r="AE16" s="42">
        <f t="shared" ref="AE16:AE22" si="3">AD16*D16</f>
        <v>21.747599999999998</v>
      </c>
    </row>
    <row r="17" spans="1:32" s="42" customFormat="1" ht="27.75" customHeight="1">
      <c r="A17" s="27">
        <f>+C16+1</f>
        <v>7</v>
      </c>
      <c r="B17" s="28" t="s">
        <v>32</v>
      </c>
      <c r="C17" s="27">
        <f t="shared" si="0"/>
        <v>12</v>
      </c>
      <c r="D17" s="27">
        <f t="shared" si="1"/>
        <v>6</v>
      </c>
      <c r="E17" s="28" t="s">
        <v>155</v>
      </c>
      <c r="F17" s="83" t="str">
        <f t="shared" ref="F17:F22" si="4">+$D$7</f>
        <v>36K821301-001-PC</v>
      </c>
      <c r="G17" s="28" t="str">
        <f>+$G$16</f>
        <v xml:space="preserve">BLACK </v>
      </c>
      <c r="H17" s="30">
        <f t="shared" ref="H17:H22" si="5">+$D$8</f>
        <v>4500505877</v>
      </c>
      <c r="I17" s="31"/>
      <c r="J17" s="31">
        <v>12</v>
      </c>
      <c r="K17" s="31"/>
      <c r="L17" s="31"/>
      <c r="M17" s="31"/>
      <c r="N17" s="30"/>
      <c r="O17" s="30"/>
      <c r="P17" s="30"/>
      <c r="Q17" s="28">
        <f t="shared" si="2"/>
        <v>12</v>
      </c>
      <c r="R17" s="28">
        <v>72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 t="s">
        <v>137</v>
      </c>
      <c r="AB17" s="42" t="s">
        <v>135</v>
      </c>
      <c r="AD17" s="42">
        <f>0.4445*2+0.3683*4+0.12*12</f>
        <v>3.8022</v>
      </c>
      <c r="AE17" s="42">
        <f t="shared" si="3"/>
        <v>22.813200000000002</v>
      </c>
    </row>
    <row r="18" spans="1:32" s="42" customFormat="1" ht="27.75" customHeight="1">
      <c r="A18" s="27">
        <f t="shared" ref="A18:A22" si="9">+C17+1</f>
        <v>13</v>
      </c>
      <c r="B18" s="28" t="s">
        <v>32</v>
      </c>
      <c r="C18" s="27">
        <f t="shared" si="0"/>
        <v>20</v>
      </c>
      <c r="D18" s="27">
        <f t="shared" si="1"/>
        <v>8</v>
      </c>
      <c r="E18" s="28" t="s">
        <v>156</v>
      </c>
      <c r="F18" s="83" t="str">
        <f t="shared" si="4"/>
        <v>36K821301-001-PC</v>
      </c>
      <c r="G18" s="28" t="str">
        <f t="shared" ref="G18:G22" si="10">+$G$16</f>
        <v xml:space="preserve">BLACK </v>
      </c>
      <c r="H18" s="30">
        <f t="shared" si="5"/>
        <v>4500505877</v>
      </c>
      <c r="I18" s="31"/>
      <c r="J18" s="31"/>
      <c r="K18" s="31">
        <v>12</v>
      </c>
      <c r="L18" s="31"/>
      <c r="M18" s="31"/>
      <c r="N18" s="30"/>
      <c r="O18" s="30"/>
      <c r="P18" s="30"/>
      <c r="Q18" s="28">
        <f t="shared" si="2"/>
        <v>12</v>
      </c>
      <c r="R18" s="28">
        <v>96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 t="s">
        <v>137</v>
      </c>
      <c r="AB18" s="42" t="s">
        <v>135</v>
      </c>
      <c r="AD18" s="42">
        <f>0.4445*2+0.3683*4+0.12*12</f>
        <v>3.8022</v>
      </c>
      <c r="AE18" s="42">
        <f t="shared" si="3"/>
        <v>30.4176</v>
      </c>
    </row>
    <row r="19" spans="1:32" s="42" customFormat="1" ht="27.75" customHeight="1">
      <c r="A19" s="27">
        <f t="shared" si="9"/>
        <v>21</v>
      </c>
      <c r="B19" s="28" t="s">
        <v>32</v>
      </c>
      <c r="C19" s="27">
        <f t="shared" si="0"/>
        <v>34</v>
      </c>
      <c r="D19" s="27">
        <f t="shared" si="1"/>
        <v>14</v>
      </c>
      <c r="E19" s="28" t="s">
        <v>157</v>
      </c>
      <c r="F19" s="83" t="str">
        <f t="shared" si="4"/>
        <v>36K821301-001-PC</v>
      </c>
      <c r="G19" s="28" t="str">
        <f t="shared" si="10"/>
        <v xml:space="preserve">BLACK </v>
      </c>
      <c r="H19" s="30">
        <f t="shared" si="5"/>
        <v>4500505877</v>
      </c>
      <c r="I19" s="31"/>
      <c r="J19" s="31"/>
      <c r="K19" s="31"/>
      <c r="L19" s="31">
        <v>12</v>
      </c>
      <c r="M19" s="31"/>
      <c r="N19" s="30"/>
      <c r="O19" s="30"/>
      <c r="P19" s="30"/>
      <c r="Q19" s="28">
        <f t="shared" si="2"/>
        <v>12</v>
      </c>
      <c r="R19" s="28">
        <v>168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 t="s">
        <v>138</v>
      </c>
      <c r="AB19" s="42" t="s">
        <v>135</v>
      </c>
      <c r="AD19" s="42">
        <f>0.5906*2+0.3874*4+0.12*12</f>
        <v>4.1707999999999998</v>
      </c>
      <c r="AE19" s="42">
        <f t="shared" si="3"/>
        <v>58.391199999999998</v>
      </c>
    </row>
    <row r="20" spans="1:32" s="42" customFormat="1" ht="27.75" customHeight="1">
      <c r="A20" s="27">
        <f t="shared" si="9"/>
        <v>35</v>
      </c>
      <c r="B20" s="28" t="s">
        <v>32</v>
      </c>
      <c r="C20" s="27">
        <f t="shared" si="0"/>
        <v>44</v>
      </c>
      <c r="D20" s="27">
        <f t="shared" si="1"/>
        <v>10</v>
      </c>
      <c r="E20" s="28" t="s">
        <v>158</v>
      </c>
      <c r="F20" s="83" t="str">
        <f t="shared" si="4"/>
        <v>36K821301-001-PC</v>
      </c>
      <c r="G20" s="28" t="str">
        <f t="shared" si="10"/>
        <v xml:space="preserve">BLACK </v>
      </c>
      <c r="H20" s="30">
        <f t="shared" si="5"/>
        <v>4500505877</v>
      </c>
      <c r="I20" s="31"/>
      <c r="J20" s="31"/>
      <c r="K20" s="31"/>
      <c r="L20" s="31"/>
      <c r="M20" s="31">
        <v>12</v>
      </c>
      <c r="N20" s="31"/>
      <c r="O20" s="30"/>
      <c r="P20" s="30"/>
      <c r="Q20" s="28">
        <f t="shared" si="2"/>
        <v>12</v>
      </c>
      <c r="R20" s="28">
        <v>120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 t="s">
        <v>138</v>
      </c>
      <c r="AB20" s="42" t="s">
        <v>135</v>
      </c>
      <c r="AD20" s="42">
        <f>0.5906*2+0.3874*4+0.12*12</f>
        <v>4.1707999999999998</v>
      </c>
      <c r="AE20" s="42">
        <f t="shared" si="3"/>
        <v>41.707999999999998</v>
      </c>
    </row>
    <row r="21" spans="1:32" s="42" customFormat="1" ht="27.75" customHeight="1">
      <c r="A21" s="27">
        <f t="shared" si="9"/>
        <v>45</v>
      </c>
      <c r="B21" s="28" t="s">
        <v>32</v>
      </c>
      <c r="C21" s="27">
        <f t="shared" si="0"/>
        <v>64</v>
      </c>
      <c r="D21" s="27">
        <f t="shared" si="1"/>
        <v>20</v>
      </c>
      <c r="E21" s="28" t="s">
        <v>159</v>
      </c>
      <c r="F21" s="83" t="str">
        <f t="shared" si="4"/>
        <v>36K821301-001-PC</v>
      </c>
      <c r="G21" s="28" t="str">
        <f t="shared" si="10"/>
        <v xml:space="preserve">BLACK </v>
      </c>
      <c r="H21" s="30">
        <f t="shared" si="5"/>
        <v>4500505877</v>
      </c>
      <c r="I21" s="31"/>
      <c r="J21" s="31"/>
      <c r="K21" s="31"/>
      <c r="L21" s="31"/>
      <c r="M21" s="31"/>
      <c r="N21" s="31">
        <v>12</v>
      </c>
      <c r="O21" s="31"/>
      <c r="P21" s="30"/>
      <c r="Q21" s="28">
        <f t="shared" si="2"/>
        <v>12</v>
      </c>
      <c r="R21" s="28">
        <v>240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 t="s">
        <v>139</v>
      </c>
      <c r="AB21" s="42" t="s">
        <v>135</v>
      </c>
      <c r="AD21" s="42">
        <f>0.5906*2+0.3874*4+0.12*12</f>
        <v>4.1707999999999998</v>
      </c>
      <c r="AE21" s="42">
        <f t="shared" si="3"/>
        <v>83.415999999999997</v>
      </c>
    </row>
    <row r="22" spans="1:32" s="42" customFormat="1" ht="27.75" customHeight="1">
      <c r="A22" s="27">
        <f t="shared" si="9"/>
        <v>65</v>
      </c>
      <c r="B22" s="28" t="s">
        <v>32</v>
      </c>
      <c r="C22" s="27">
        <f t="shared" si="0"/>
        <v>74</v>
      </c>
      <c r="D22" s="27">
        <f t="shared" si="1"/>
        <v>10</v>
      </c>
      <c r="E22" s="28" t="s">
        <v>160</v>
      </c>
      <c r="F22" s="83" t="str">
        <f t="shared" si="4"/>
        <v>36K821301-001-PC</v>
      </c>
      <c r="G22" s="28" t="str">
        <f t="shared" si="10"/>
        <v xml:space="preserve">BLACK 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12</v>
      </c>
      <c r="P22" s="30"/>
      <c r="Q22" s="28">
        <f t="shared" si="2"/>
        <v>12</v>
      </c>
      <c r="R22" s="28">
        <v>120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 t="s">
        <v>139</v>
      </c>
      <c r="AB22" s="42" t="s">
        <v>135</v>
      </c>
      <c r="AD22" s="42">
        <f>0.5906*2+0.3874*4+0.12*12</f>
        <v>4.1707999999999998</v>
      </c>
      <c r="AE22" s="42">
        <f t="shared" si="3"/>
        <v>41.707999999999998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74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888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2.0357860465116278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>36K821301-001-PC</v>
      </c>
      <c r="G28" s="107" t="str">
        <f>+G16</f>
        <v xml:space="preserve">BLACK </v>
      </c>
      <c r="H28" s="68">
        <f>+H16</f>
        <v>4500505877</v>
      </c>
      <c r="I28" s="86">
        <f t="shared" ref="I28:O28" si="11">+I16*$D$16</f>
        <v>72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72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>36K821301-001-PC</v>
      </c>
      <c r="G29" s="107" t="str">
        <f>+G28</f>
        <v xml:space="preserve">BLACK </v>
      </c>
      <c r="H29" s="68">
        <f>+H28</f>
        <v>4500505877</v>
      </c>
      <c r="I29" s="86">
        <f t="shared" ref="I29:O29" si="12">+I17*$D$17</f>
        <v>0</v>
      </c>
      <c r="J29" s="86">
        <f t="shared" si="12"/>
        <v>72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72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>36K821301-001-PC</v>
      </c>
      <c r="G30" s="107" t="str">
        <f>+G16</f>
        <v xml:space="preserve">BLACK 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96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96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>36K821301-001-PC</v>
      </c>
      <c r="G31" s="107" t="str">
        <f>+G19</f>
        <v xml:space="preserve">BLACK 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168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168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>36K821301-001-PC</v>
      </c>
      <c r="G32" s="107" t="str">
        <f>+G31</f>
        <v xml:space="preserve">BLACK 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120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120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>36K821301-001-PC</v>
      </c>
      <c r="G33" s="107" t="str">
        <f>+G21</f>
        <v xml:space="preserve">BLACK 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240</v>
      </c>
      <c r="O33" s="86">
        <f t="shared" si="17"/>
        <v>0</v>
      </c>
      <c r="P33" s="70"/>
      <c r="Q33" s="71">
        <f t="shared" si="13"/>
        <v>240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>36K821301-001-PC</v>
      </c>
      <c r="G34" s="107" t="str">
        <f>+G33</f>
        <v xml:space="preserve">BLACK 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120</v>
      </c>
      <c r="P34" s="69">
        <v>0</v>
      </c>
      <c r="Q34" s="71">
        <f t="shared" si="13"/>
        <v>120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72</v>
      </c>
      <c r="J35" s="71">
        <f t="shared" ref="J35:O35" si="19">SUM(J28:J34)</f>
        <v>72</v>
      </c>
      <c r="K35" s="71">
        <f t="shared" si="19"/>
        <v>96</v>
      </c>
      <c r="L35" s="71">
        <f t="shared" si="19"/>
        <v>168</v>
      </c>
      <c r="M35" s="71">
        <f t="shared" si="19"/>
        <v>120</v>
      </c>
      <c r="N35" s="71">
        <f t="shared" si="19"/>
        <v>240</v>
      </c>
      <c r="O35" s="71">
        <f t="shared" si="19"/>
        <v>120</v>
      </c>
      <c r="P35" s="71"/>
      <c r="Q35" s="71">
        <f>SUM(I35:P35)</f>
        <v>888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K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19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143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145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150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1992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3" t="s">
        <v>145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552</v>
      </c>
      <c r="D16" s="27">
        <f t="shared" ref="D16:D22" si="1">+R16/Q16</f>
        <v>552</v>
      </c>
      <c r="E16" s="28" t="s">
        <v>163</v>
      </c>
      <c r="F16" s="83" t="str">
        <f>+$D$7</f>
        <v xml:space="preserve">36K8J0027-421-PC </v>
      </c>
      <c r="G16" s="28" t="s">
        <v>144</v>
      </c>
      <c r="H16" s="30">
        <f>+$D$8</f>
        <v>4500505877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</v>
      </c>
      <c r="R16" s="28">
        <v>552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2" si="3">AD16*D16</f>
        <v>2000.7791999999999</v>
      </c>
    </row>
    <row r="17" spans="1:32" s="42" customFormat="1" ht="27.75" customHeight="1">
      <c r="A17" s="27">
        <f>+C16+1</f>
        <v>553</v>
      </c>
      <c r="B17" s="28" t="s">
        <v>32</v>
      </c>
      <c r="C17" s="27">
        <f t="shared" si="0"/>
        <v>696</v>
      </c>
      <c r="D17" s="27">
        <f t="shared" si="1"/>
        <v>144</v>
      </c>
      <c r="E17" s="28" t="s">
        <v>164</v>
      </c>
      <c r="F17" s="83" t="str">
        <f t="shared" ref="F17:F22" si="4">+$D$7</f>
        <v xml:space="preserve">36K8J0027-421-PC </v>
      </c>
      <c r="G17" s="28" t="str">
        <f>+$G$16</f>
        <v xml:space="preserve">421 MED BLUE </v>
      </c>
      <c r="H17" s="30">
        <f t="shared" ref="H17:H22" si="5">+$D$8</f>
        <v>4500505877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144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547.51679999999999</v>
      </c>
    </row>
    <row r="18" spans="1:32" s="42" customFormat="1" ht="27.75" customHeight="1">
      <c r="A18" s="27">
        <f t="shared" ref="A18:A22" si="9">+C17+1</f>
        <v>697</v>
      </c>
      <c r="B18" s="28" t="s">
        <v>32</v>
      </c>
      <c r="C18" s="27">
        <f t="shared" si="0"/>
        <v>936</v>
      </c>
      <c r="D18" s="27">
        <f t="shared" si="1"/>
        <v>240</v>
      </c>
      <c r="E18" s="28" t="s">
        <v>165</v>
      </c>
      <c r="F18" s="83" t="str">
        <f t="shared" si="4"/>
        <v xml:space="preserve">36K8J0027-421-PC </v>
      </c>
      <c r="G18" s="28" t="str">
        <f t="shared" ref="G18:G22" si="10">+$G$16</f>
        <v xml:space="preserve">421 MED BLUE </v>
      </c>
      <c r="H18" s="30">
        <f t="shared" si="5"/>
        <v>4500505877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240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912.52800000000002</v>
      </c>
    </row>
    <row r="19" spans="1:32" s="42" customFormat="1" ht="27.75" customHeight="1">
      <c r="A19" s="27">
        <f t="shared" si="9"/>
        <v>937</v>
      </c>
      <c r="B19" s="28" t="s">
        <v>32</v>
      </c>
      <c r="C19" s="27">
        <f t="shared" si="0"/>
        <v>1200</v>
      </c>
      <c r="D19" s="27">
        <f t="shared" si="1"/>
        <v>264</v>
      </c>
      <c r="E19" s="28" t="s">
        <v>166</v>
      </c>
      <c r="F19" s="83" t="str">
        <f t="shared" si="4"/>
        <v xml:space="preserve">36K8J0027-421-PC </v>
      </c>
      <c r="G19" s="28" t="str">
        <f t="shared" si="10"/>
        <v xml:space="preserve">421 MED BLUE </v>
      </c>
      <c r="H19" s="30">
        <f t="shared" si="5"/>
        <v>4500505877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264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1101.0911999999998</v>
      </c>
    </row>
    <row r="20" spans="1:32" s="42" customFormat="1" ht="27.75" customHeight="1">
      <c r="A20" s="27">
        <f t="shared" si="9"/>
        <v>1201</v>
      </c>
      <c r="B20" s="28" t="s">
        <v>32</v>
      </c>
      <c r="C20" s="27">
        <f t="shared" si="0"/>
        <v>1368</v>
      </c>
      <c r="D20" s="27">
        <f t="shared" si="1"/>
        <v>168</v>
      </c>
      <c r="E20" s="28" t="s">
        <v>167</v>
      </c>
      <c r="F20" s="83" t="str">
        <f t="shared" si="4"/>
        <v xml:space="preserve">36K8J0027-421-PC </v>
      </c>
      <c r="G20" s="28" t="str">
        <f t="shared" si="10"/>
        <v xml:space="preserve">421 MED BLUE </v>
      </c>
      <c r="H20" s="30">
        <f t="shared" si="5"/>
        <v>4500505877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168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700.69439999999997</v>
      </c>
    </row>
    <row r="21" spans="1:32" s="42" customFormat="1" ht="27.75" customHeight="1">
      <c r="A21" s="27">
        <f t="shared" si="9"/>
        <v>1369</v>
      </c>
      <c r="B21" s="28" t="s">
        <v>32</v>
      </c>
      <c r="C21" s="27">
        <f t="shared" si="0"/>
        <v>1752</v>
      </c>
      <c r="D21" s="27">
        <f t="shared" si="1"/>
        <v>384</v>
      </c>
      <c r="E21" s="28" t="s">
        <v>162</v>
      </c>
      <c r="F21" s="83" t="str">
        <f t="shared" si="4"/>
        <v xml:space="preserve">36K8J0027-421-PC </v>
      </c>
      <c r="G21" s="28" t="str">
        <f t="shared" si="10"/>
        <v xml:space="preserve">421 MED BLUE </v>
      </c>
      <c r="H21" s="30">
        <f t="shared" si="5"/>
        <v>4500505877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si="2"/>
        <v>1</v>
      </c>
      <c r="R21" s="28">
        <v>384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si="3"/>
        <v>1601.5871999999999</v>
      </c>
    </row>
    <row r="22" spans="1:32" s="42" customFormat="1" ht="27.75" customHeight="1">
      <c r="A22" s="27">
        <f t="shared" si="9"/>
        <v>1753</v>
      </c>
      <c r="B22" s="28" t="s">
        <v>32</v>
      </c>
      <c r="C22" s="27">
        <f t="shared" si="0"/>
        <v>1992</v>
      </c>
      <c r="D22" s="27">
        <f t="shared" si="1"/>
        <v>240</v>
      </c>
      <c r="E22" s="28" t="s">
        <v>161</v>
      </c>
      <c r="F22" s="83" t="str">
        <f t="shared" si="4"/>
        <v xml:space="preserve">36K8J0027-421-PC </v>
      </c>
      <c r="G22" s="28" t="str">
        <f t="shared" si="10"/>
        <v xml:space="preserve">421 MED BLUE 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2"/>
        <v>1</v>
      </c>
      <c r="R22" s="28">
        <v>240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3"/>
        <v>1000.992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1992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1992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61.19313488372093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36K8J0027-421-PC </v>
      </c>
      <c r="G28" s="107" t="str">
        <f>+G16</f>
        <v xml:space="preserve">421 MED BLUE </v>
      </c>
      <c r="H28" s="68">
        <f>+H16</f>
        <v>4500505877</v>
      </c>
      <c r="I28" s="86">
        <f t="shared" ref="I28:O28" si="11">+I16*$D$16</f>
        <v>552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552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36K8J0027-421-PC </v>
      </c>
      <c r="G29" s="107" t="str">
        <f>+G28</f>
        <v xml:space="preserve">421 MED BLUE </v>
      </c>
      <c r="H29" s="68">
        <f>+H28</f>
        <v>4500505877</v>
      </c>
      <c r="I29" s="86">
        <f t="shared" ref="I29:O29" si="12">+I17*$D$17</f>
        <v>0</v>
      </c>
      <c r="J29" s="86">
        <f t="shared" si="12"/>
        <v>144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144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36K8J0027-421-PC </v>
      </c>
      <c r="G30" s="107" t="str">
        <f>+G16</f>
        <v xml:space="preserve">421 MED BLUE 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240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240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36K8J0027-421-PC </v>
      </c>
      <c r="G31" s="107" t="str">
        <f>+G19</f>
        <v xml:space="preserve">421 MED BLUE 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264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264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36K8J0027-421-PC </v>
      </c>
      <c r="G32" s="107" t="str">
        <f>+G31</f>
        <v xml:space="preserve">421 MED BLUE 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168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168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36K8J0027-421-PC </v>
      </c>
      <c r="G33" s="107" t="str">
        <f>+G21</f>
        <v xml:space="preserve">421 MED BLUE 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384</v>
      </c>
      <c r="O33" s="86">
        <f t="shared" si="17"/>
        <v>0</v>
      </c>
      <c r="P33" s="70"/>
      <c r="Q33" s="71">
        <f t="shared" si="13"/>
        <v>384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36K8J0027-421-PC </v>
      </c>
      <c r="G34" s="107" t="str">
        <f>+G33</f>
        <v xml:space="preserve">421 MED BLUE 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240</v>
      </c>
      <c r="P34" s="69">
        <v>0</v>
      </c>
      <c r="Q34" s="71">
        <f t="shared" si="13"/>
        <v>240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552</v>
      </c>
      <c r="J35" s="71">
        <f t="shared" ref="J35:O35" si="19">SUM(J28:J34)</f>
        <v>144</v>
      </c>
      <c r="K35" s="71">
        <f t="shared" si="19"/>
        <v>240</v>
      </c>
      <c r="L35" s="71">
        <f t="shared" si="19"/>
        <v>264</v>
      </c>
      <c r="M35" s="71">
        <f t="shared" si="19"/>
        <v>168</v>
      </c>
      <c r="N35" s="71">
        <f t="shared" si="19"/>
        <v>384</v>
      </c>
      <c r="O35" s="71">
        <f t="shared" si="19"/>
        <v>240</v>
      </c>
      <c r="P35" s="71"/>
      <c r="Q35" s="71">
        <f>SUM(I35:P35)</f>
        <v>1992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20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143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145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150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1200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3" t="s">
        <v>145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144</v>
      </c>
      <c r="D16" s="27">
        <f t="shared" ref="D16:D22" si="1">+R16/Q16</f>
        <v>144</v>
      </c>
      <c r="E16" s="28" t="s">
        <v>168</v>
      </c>
      <c r="F16" s="83" t="str">
        <f>+$D$7</f>
        <v xml:space="preserve">36K8J0027-421-PC </v>
      </c>
      <c r="G16" s="28" t="s">
        <v>144</v>
      </c>
      <c r="H16" s="30">
        <f>+$D$8</f>
        <v>4500505877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</v>
      </c>
      <c r="R16" s="28">
        <v>144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2" si="3">AD16*D16</f>
        <v>521.94240000000002</v>
      </c>
    </row>
    <row r="17" spans="1:32" s="42" customFormat="1" ht="27.75" customHeight="1">
      <c r="A17" s="27">
        <f>+C16+1</f>
        <v>145</v>
      </c>
      <c r="B17" s="28" t="s">
        <v>32</v>
      </c>
      <c r="C17" s="27">
        <f t="shared" si="0"/>
        <v>312</v>
      </c>
      <c r="D17" s="27">
        <f t="shared" si="1"/>
        <v>168</v>
      </c>
      <c r="E17" s="28" t="s">
        <v>169</v>
      </c>
      <c r="F17" s="83" t="str">
        <f t="shared" ref="F17:F22" si="4">+$D$7</f>
        <v xml:space="preserve">36K8J0027-421-PC </v>
      </c>
      <c r="G17" s="28" t="str">
        <f>+$G$16</f>
        <v xml:space="preserve">421 MED BLUE </v>
      </c>
      <c r="H17" s="30">
        <f t="shared" ref="H17:H22" si="5">+$D$8</f>
        <v>4500505877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168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638.76959999999997</v>
      </c>
    </row>
    <row r="18" spans="1:32" s="42" customFormat="1" ht="27.75" customHeight="1">
      <c r="A18" s="27">
        <f t="shared" ref="A18:A22" si="9">+C17+1</f>
        <v>313</v>
      </c>
      <c r="B18" s="28" t="s">
        <v>32</v>
      </c>
      <c r="C18" s="27">
        <f t="shared" si="0"/>
        <v>504</v>
      </c>
      <c r="D18" s="27">
        <f t="shared" si="1"/>
        <v>192</v>
      </c>
      <c r="E18" s="28" t="s">
        <v>170</v>
      </c>
      <c r="F18" s="83" t="str">
        <f t="shared" si="4"/>
        <v xml:space="preserve">36K8J0027-421-PC </v>
      </c>
      <c r="G18" s="28" t="str">
        <f t="shared" ref="G18:G22" si="10">+$G$16</f>
        <v xml:space="preserve">421 MED BLUE </v>
      </c>
      <c r="H18" s="30">
        <f t="shared" si="5"/>
        <v>4500505877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192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730.02240000000006</v>
      </c>
    </row>
    <row r="19" spans="1:32" s="42" customFormat="1" ht="27.75" customHeight="1">
      <c r="A19" s="27">
        <f t="shared" si="9"/>
        <v>505</v>
      </c>
      <c r="B19" s="28" t="s">
        <v>32</v>
      </c>
      <c r="C19" s="27">
        <f t="shared" si="0"/>
        <v>720</v>
      </c>
      <c r="D19" s="27">
        <f t="shared" si="1"/>
        <v>216</v>
      </c>
      <c r="E19" s="28" t="s">
        <v>171</v>
      </c>
      <c r="F19" s="83" t="str">
        <f t="shared" si="4"/>
        <v xml:space="preserve">36K8J0027-421-PC </v>
      </c>
      <c r="G19" s="28" t="str">
        <f t="shared" si="10"/>
        <v xml:space="preserve">421 MED BLUE </v>
      </c>
      <c r="H19" s="30">
        <f t="shared" si="5"/>
        <v>4500505877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216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900.89279999999997</v>
      </c>
    </row>
    <row r="20" spans="1:32" s="42" customFormat="1" ht="27.75" customHeight="1">
      <c r="A20" s="27">
        <f t="shared" si="9"/>
        <v>721</v>
      </c>
      <c r="B20" s="28" t="s">
        <v>32</v>
      </c>
      <c r="C20" s="27">
        <f t="shared" si="0"/>
        <v>912</v>
      </c>
      <c r="D20" s="27">
        <f t="shared" si="1"/>
        <v>192</v>
      </c>
      <c r="E20" s="28" t="s">
        <v>172</v>
      </c>
      <c r="F20" s="83" t="str">
        <f t="shared" si="4"/>
        <v xml:space="preserve">36K8J0027-421-PC </v>
      </c>
      <c r="G20" s="28" t="str">
        <f t="shared" si="10"/>
        <v xml:space="preserve">421 MED BLUE </v>
      </c>
      <c r="H20" s="30">
        <f t="shared" si="5"/>
        <v>4500505877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192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800.79359999999997</v>
      </c>
    </row>
    <row r="21" spans="1:32" s="42" customFormat="1" ht="27.75" customHeight="1">
      <c r="A21" s="27">
        <f t="shared" si="9"/>
        <v>913</v>
      </c>
      <c r="B21" s="28" t="s">
        <v>32</v>
      </c>
      <c r="C21" s="27">
        <f t="shared" si="0"/>
        <v>1080</v>
      </c>
      <c r="D21" s="27">
        <f t="shared" si="1"/>
        <v>168</v>
      </c>
      <c r="E21" s="28" t="s">
        <v>173</v>
      </c>
      <c r="F21" s="83" t="str">
        <f t="shared" si="4"/>
        <v xml:space="preserve">36K8J0027-421-PC </v>
      </c>
      <c r="G21" s="28" t="str">
        <f t="shared" si="10"/>
        <v xml:space="preserve">421 MED BLUE </v>
      </c>
      <c r="H21" s="30">
        <f t="shared" si="5"/>
        <v>4500505877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si="2"/>
        <v>1</v>
      </c>
      <c r="R21" s="28">
        <v>168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si="3"/>
        <v>700.69439999999997</v>
      </c>
    </row>
    <row r="22" spans="1:32" s="42" customFormat="1" ht="27.75" customHeight="1">
      <c r="A22" s="27">
        <f t="shared" si="9"/>
        <v>1081</v>
      </c>
      <c r="B22" s="28" t="s">
        <v>32</v>
      </c>
      <c r="C22" s="27">
        <f t="shared" si="0"/>
        <v>1200</v>
      </c>
      <c r="D22" s="27">
        <f t="shared" si="1"/>
        <v>120</v>
      </c>
      <c r="E22" s="28" t="s">
        <v>174</v>
      </c>
      <c r="F22" s="83" t="str">
        <f t="shared" si="4"/>
        <v xml:space="preserve">36K8J0027-421-PC </v>
      </c>
      <c r="G22" s="28" t="str">
        <f t="shared" si="10"/>
        <v xml:space="preserve">421 MED BLUE 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2"/>
        <v>1</v>
      </c>
      <c r="R22" s="28">
        <v>120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3"/>
        <v>500.49599999999998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1200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1200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41.77233488372093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36K8J0027-421-PC </v>
      </c>
      <c r="G28" s="107" t="str">
        <f>+G16</f>
        <v xml:space="preserve">421 MED BLUE </v>
      </c>
      <c r="H28" s="68">
        <f>+H16</f>
        <v>4500505877</v>
      </c>
      <c r="I28" s="86">
        <f t="shared" ref="I28:O28" si="11">+I16*$D$16</f>
        <v>144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144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36K8J0027-421-PC </v>
      </c>
      <c r="G29" s="107" t="str">
        <f>+G28</f>
        <v xml:space="preserve">421 MED BLUE </v>
      </c>
      <c r="H29" s="68">
        <f>+H28</f>
        <v>4500505877</v>
      </c>
      <c r="I29" s="86">
        <f t="shared" ref="I29:O29" si="12">+I17*$D$17</f>
        <v>0</v>
      </c>
      <c r="J29" s="86">
        <f t="shared" si="12"/>
        <v>168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168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36K8J0027-421-PC </v>
      </c>
      <c r="G30" s="107" t="str">
        <f>+G16</f>
        <v xml:space="preserve">421 MED BLUE 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192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192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36K8J0027-421-PC </v>
      </c>
      <c r="G31" s="107" t="str">
        <f>+G19</f>
        <v xml:space="preserve">421 MED BLUE 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216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216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36K8J0027-421-PC </v>
      </c>
      <c r="G32" s="107" t="str">
        <f>+G31</f>
        <v xml:space="preserve">421 MED BLUE 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192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192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36K8J0027-421-PC </v>
      </c>
      <c r="G33" s="107" t="str">
        <f>+G21</f>
        <v xml:space="preserve">421 MED BLUE 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168</v>
      </c>
      <c r="O33" s="86">
        <f t="shared" si="17"/>
        <v>0</v>
      </c>
      <c r="P33" s="70"/>
      <c r="Q33" s="71">
        <f t="shared" si="13"/>
        <v>168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36K8J0027-421-PC </v>
      </c>
      <c r="G34" s="107" t="str">
        <f>+G33</f>
        <v xml:space="preserve">421 MED BLUE 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120</v>
      </c>
      <c r="P34" s="69">
        <v>0</v>
      </c>
      <c r="Q34" s="71">
        <f t="shared" si="13"/>
        <v>120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144</v>
      </c>
      <c r="J35" s="71">
        <f t="shared" ref="J35:O35" si="19">SUM(J28:J34)</f>
        <v>168</v>
      </c>
      <c r="K35" s="71">
        <f t="shared" si="19"/>
        <v>192</v>
      </c>
      <c r="L35" s="71">
        <f t="shared" si="19"/>
        <v>216</v>
      </c>
      <c r="M35" s="71">
        <f t="shared" si="19"/>
        <v>192</v>
      </c>
      <c r="N35" s="71">
        <f t="shared" si="19"/>
        <v>168</v>
      </c>
      <c r="O35" s="71">
        <f t="shared" si="19"/>
        <v>120</v>
      </c>
      <c r="P35" s="71"/>
      <c r="Q35" s="71">
        <f>SUM(I35:P35)</f>
        <v>1200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16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147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148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149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7992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3" t="s">
        <v>148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756</v>
      </c>
      <c r="D16" s="27">
        <f t="shared" ref="D16:D22" si="1">+R16/Q16</f>
        <v>756</v>
      </c>
      <c r="E16" s="28" t="s">
        <v>175</v>
      </c>
      <c r="F16" s="83" t="str">
        <f>+$D$7</f>
        <v xml:space="preserve">36K8J0045-001-PC </v>
      </c>
      <c r="G16" s="28" t="s">
        <v>151</v>
      </c>
      <c r="H16" s="30">
        <f>+$D$8</f>
        <v>4500505877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</v>
      </c>
      <c r="R16" s="28">
        <v>756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2" si="3">AD16*D16</f>
        <v>2740.1976</v>
      </c>
    </row>
    <row r="17" spans="1:32" s="42" customFormat="1" ht="27.75" customHeight="1">
      <c r="A17" s="27">
        <f>+C16+1</f>
        <v>757</v>
      </c>
      <c r="B17" s="28" t="s">
        <v>32</v>
      </c>
      <c r="C17" s="27">
        <f t="shared" si="0"/>
        <v>1704</v>
      </c>
      <c r="D17" s="27">
        <f t="shared" si="1"/>
        <v>948</v>
      </c>
      <c r="E17" s="28" t="s">
        <v>176</v>
      </c>
      <c r="F17" s="83" t="str">
        <f t="shared" ref="F17:F22" si="4">+$D$7</f>
        <v xml:space="preserve">36K8J0045-001-PC </v>
      </c>
      <c r="G17" s="28" t="str">
        <f>+$G$16</f>
        <v xml:space="preserve">001 BLACK </v>
      </c>
      <c r="H17" s="30">
        <f t="shared" ref="H17:H22" si="5">+$D$8</f>
        <v>4500505877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948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3604.4856</v>
      </c>
    </row>
    <row r="18" spans="1:32" s="42" customFormat="1" ht="27.75" customHeight="1">
      <c r="A18" s="27">
        <f t="shared" ref="A18:A22" si="9">+C17+1</f>
        <v>1705</v>
      </c>
      <c r="B18" s="28" t="s">
        <v>32</v>
      </c>
      <c r="C18" s="27">
        <f t="shared" si="0"/>
        <v>2700</v>
      </c>
      <c r="D18" s="27">
        <f t="shared" si="1"/>
        <v>996</v>
      </c>
      <c r="E18" s="28" t="s">
        <v>177</v>
      </c>
      <c r="F18" s="83" t="str">
        <f t="shared" si="4"/>
        <v xml:space="preserve">36K8J0045-001-PC </v>
      </c>
      <c r="G18" s="28" t="str">
        <f t="shared" ref="G18:G22" si="10">+$G$16</f>
        <v xml:space="preserve">001 BLACK </v>
      </c>
      <c r="H18" s="30">
        <f t="shared" si="5"/>
        <v>4500505877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996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3786.9911999999999</v>
      </c>
    </row>
    <row r="19" spans="1:32" s="42" customFormat="1" ht="27.75" customHeight="1">
      <c r="A19" s="27">
        <f t="shared" si="9"/>
        <v>2701</v>
      </c>
      <c r="B19" s="28" t="s">
        <v>32</v>
      </c>
      <c r="C19" s="27">
        <f t="shared" si="0"/>
        <v>3864</v>
      </c>
      <c r="D19" s="27">
        <f t="shared" si="1"/>
        <v>1164</v>
      </c>
      <c r="E19" s="28" t="s">
        <v>178</v>
      </c>
      <c r="F19" s="83" t="str">
        <f t="shared" si="4"/>
        <v xml:space="preserve">36K8J0045-001-PC </v>
      </c>
      <c r="G19" s="28" t="str">
        <f t="shared" si="10"/>
        <v xml:space="preserve">001 BLACK </v>
      </c>
      <c r="H19" s="30">
        <f t="shared" si="5"/>
        <v>4500505877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1164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4854.8112000000001</v>
      </c>
    </row>
    <row r="20" spans="1:32" s="42" customFormat="1" ht="27.75" customHeight="1">
      <c r="A20" s="27">
        <f t="shared" si="9"/>
        <v>3865</v>
      </c>
      <c r="B20" s="28" t="s">
        <v>32</v>
      </c>
      <c r="C20" s="27">
        <f t="shared" si="0"/>
        <v>5424</v>
      </c>
      <c r="D20" s="27">
        <f t="shared" si="1"/>
        <v>1560</v>
      </c>
      <c r="E20" s="28" t="s">
        <v>179</v>
      </c>
      <c r="F20" s="83" t="str">
        <f t="shared" si="4"/>
        <v xml:space="preserve">36K8J0045-001-PC </v>
      </c>
      <c r="G20" s="28" t="str">
        <f t="shared" si="10"/>
        <v xml:space="preserve">001 BLACK </v>
      </c>
      <c r="H20" s="30">
        <f t="shared" si="5"/>
        <v>4500505877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1560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6506.4479999999994</v>
      </c>
    </row>
    <row r="21" spans="1:32" s="42" customFormat="1" ht="27.75" customHeight="1">
      <c r="A21" s="27">
        <f t="shared" si="9"/>
        <v>5425</v>
      </c>
      <c r="B21" s="28" t="s">
        <v>32</v>
      </c>
      <c r="C21" s="27">
        <f t="shared" si="0"/>
        <v>6888</v>
      </c>
      <c r="D21" s="27">
        <f t="shared" si="1"/>
        <v>1464</v>
      </c>
      <c r="E21" s="28" t="s">
        <v>180</v>
      </c>
      <c r="F21" s="83" t="str">
        <f t="shared" si="4"/>
        <v xml:space="preserve">36K8J0045-001-PC </v>
      </c>
      <c r="G21" s="28" t="str">
        <f t="shared" si="10"/>
        <v xml:space="preserve">001 BLACK </v>
      </c>
      <c r="H21" s="30">
        <f t="shared" si="5"/>
        <v>4500505877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si="2"/>
        <v>1</v>
      </c>
      <c r="R21" s="28">
        <v>1464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si="3"/>
        <v>6106.0511999999999</v>
      </c>
    </row>
    <row r="22" spans="1:32" s="42" customFormat="1" ht="27.75" customHeight="1">
      <c r="A22" s="27">
        <f t="shared" si="9"/>
        <v>6889</v>
      </c>
      <c r="B22" s="28" t="s">
        <v>32</v>
      </c>
      <c r="C22" s="27">
        <f t="shared" si="0"/>
        <v>7992</v>
      </c>
      <c r="D22" s="27">
        <f t="shared" si="1"/>
        <v>1104</v>
      </c>
      <c r="E22" s="28" t="s">
        <v>181</v>
      </c>
      <c r="F22" s="83" t="str">
        <f t="shared" si="4"/>
        <v xml:space="preserve">36K8J0045-001-PC </v>
      </c>
      <c r="G22" s="28" t="str">
        <f t="shared" si="10"/>
        <v xml:space="preserve">001 BLACK 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2"/>
        <v>1</v>
      </c>
      <c r="R22" s="28">
        <v>1104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3"/>
        <v>4604.5631999999996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7992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7992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249.91783255813954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36K8J0045-001-PC </v>
      </c>
      <c r="G28" s="107" t="str">
        <f>+G16</f>
        <v xml:space="preserve">001 BLACK </v>
      </c>
      <c r="H28" s="68">
        <f>+H16</f>
        <v>4500505877</v>
      </c>
      <c r="I28" s="86">
        <f t="shared" ref="I28:O28" si="11">+I16*$D$16</f>
        <v>756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756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36K8J0045-001-PC </v>
      </c>
      <c r="G29" s="107" t="str">
        <f>+G28</f>
        <v xml:space="preserve">001 BLACK </v>
      </c>
      <c r="H29" s="68">
        <f>+H28</f>
        <v>4500505877</v>
      </c>
      <c r="I29" s="86">
        <f t="shared" ref="I29:O29" si="12">+I17*$D$17</f>
        <v>0</v>
      </c>
      <c r="J29" s="86">
        <f t="shared" si="12"/>
        <v>948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948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36K8J0045-001-PC </v>
      </c>
      <c r="G30" s="107" t="str">
        <f>+G16</f>
        <v xml:space="preserve">001 BLACK 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996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996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36K8J0045-001-PC </v>
      </c>
      <c r="G31" s="107" t="str">
        <f>+G19</f>
        <v xml:space="preserve">001 BLACK 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1164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1164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36K8J0045-001-PC </v>
      </c>
      <c r="G32" s="107" t="str">
        <f>+G31</f>
        <v xml:space="preserve">001 BLACK 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1560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1560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36K8J0045-001-PC </v>
      </c>
      <c r="G33" s="107" t="str">
        <f>+G21</f>
        <v xml:space="preserve">001 BLACK 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1464</v>
      </c>
      <c r="O33" s="86">
        <f t="shared" si="17"/>
        <v>0</v>
      </c>
      <c r="P33" s="70"/>
      <c r="Q33" s="71">
        <f t="shared" si="13"/>
        <v>1464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36K8J0045-001-PC </v>
      </c>
      <c r="G34" s="107" t="str">
        <f>+G33</f>
        <v xml:space="preserve">001 BLACK 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1104</v>
      </c>
      <c r="P34" s="69">
        <v>0</v>
      </c>
      <c r="Q34" s="71">
        <f t="shared" si="13"/>
        <v>1104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756</v>
      </c>
      <c r="J35" s="71">
        <f t="shared" ref="J35:O35" si="19">SUM(J28:J34)</f>
        <v>948</v>
      </c>
      <c r="K35" s="71">
        <f t="shared" si="19"/>
        <v>996</v>
      </c>
      <c r="L35" s="71">
        <f t="shared" si="19"/>
        <v>1164</v>
      </c>
      <c r="M35" s="71">
        <f t="shared" si="19"/>
        <v>1560</v>
      </c>
      <c r="N35" s="71">
        <f t="shared" si="19"/>
        <v>1464</v>
      </c>
      <c r="O35" s="71">
        <f t="shared" si="19"/>
        <v>1104</v>
      </c>
      <c r="P35" s="71"/>
      <c r="Q35" s="71">
        <f>SUM(I35:P35)</f>
        <v>7992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20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147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148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149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1980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3" t="s">
        <v>148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180</v>
      </c>
      <c r="D16" s="27">
        <f t="shared" ref="D16:D22" si="1">+R16/Q16</f>
        <v>180</v>
      </c>
      <c r="E16" s="28" t="s">
        <v>182</v>
      </c>
      <c r="F16" s="83" t="str">
        <f>+$D$7</f>
        <v xml:space="preserve">36K8J0045-001-PC </v>
      </c>
      <c r="G16" s="28" t="s">
        <v>151</v>
      </c>
      <c r="H16" s="30">
        <f>+$D$8</f>
        <v>4500505877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</v>
      </c>
      <c r="R16" s="28">
        <v>180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2" si="3">AD16*D16</f>
        <v>652.428</v>
      </c>
    </row>
    <row r="17" spans="1:32" s="42" customFormat="1" ht="27.75" customHeight="1">
      <c r="A17" s="27">
        <f>+C16+1</f>
        <v>181</v>
      </c>
      <c r="B17" s="28" t="s">
        <v>32</v>
      </c>
      <c r="C17" s="27">
        <f t="shared" si="0"/>
        <v>384</v>
      </c>
      <c r="D17" s="27">
        <f t="shared" si="1"/>
        <v>204</v>
      </c>
      <c r="E17" s="28" t="s">
        <v>183</v>
      </c>
      <c r="F17" s="83" t="str">
        <f t="shared" ref="F17:F22" si="4">+$D$7</f>
        <v xml:space="preserve">36K8J0045-001-PC </v>
      </c>
      <c r="G17" s="28" t="str">
        <f>+$G$16</f>
        <v xml:space="preserve">001 BLACK </v>
      </c>
      <c r="H17" s="30">
        <f t="shared" ref="H17:H22" si="5">+$D$8</f>
        <v>4500505877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204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775.64880000000005</v>
      </c>
    </row>
    <row r="18" spans="1:32" s="42" customFormat="1" ht="27.75" customHeight="1">
      <c r="A18" s="27">
        <f t="shared" ref="A18:A22" si="9">+C17+1</f>
        <v>385</v>
      </c>
      <c r="B18" s="28" t="s">
        <v>32</v>
      </c>
      <c r="C18" s="27">
        <f t="shared" si="0"/>
        <v>636</v>
      </c>
      <c r="D18" s="27">
        <f t="shared" si="1"/>
        <v>252</v>
      </c>
      <c r="E18" s="28" t="s">
        <v>184</v>
      </c>
      <c r="F18" s="83" t="str">
        <f t="shared" si="4"/>
        <v xml:space="preserve">36K8J0045-001-PC </v>
      </c>
      <c r="G18" s="28" t="str">
        <f t="shared" ref="G18:G22" si="10">+$G$16</f>
        <v xml:space="preserve">001 BLACK </v>
      </c>
      <c r="H18" s="30">
        <f t="shared" si="5"/>
        <v>4500505877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252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958.15440000000001</v>
      </c>
    </row>
    <row r="19" spans="1:32" s="42" customFormat="1" ht="27.75" customHeight="1">
      <c r="A19" s="27">
        <f t="shared" si="9"/>
        <v>637</v>
      </c>
      <c r="B19" s="28" t="s">
        <v>32</v>
      </c>
      <c r="C19" s="27">
        <f t="shared" si="0"/>
        <v>924</v>
      </c>
      <c r="D19" s="27">
        <f t="shared" si="1"/>
        <v>288</v>
      </c>
      <c r="E19" s="28" t="s">
        <v>185</v>
      </c>
      <c r="F19" s="83" t="str">
        <f t="shared" si="4"/>
        <v xml:space="preserve">36K8J0045-001-PC </v>
      </c>
      <c r="G19" s="28" t="str">
        <f t="shared" si="10"/>
        <v xml:space="preserve">001 BLACK </v>
      </c>
      <c r="H19" s="30">
        <f t="shared" si="5"/>
        <v>4500505877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288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1201.1904</v>
      </c>
    </row>
    <row r="20" spans="1:32" s="42" customFormat="1" ht="27.75" customHeight="1">
      <c r="A20" s="27">
        <f t="shared" si="9"/>
        <v>925</v>
      </c>
      <c r="B20" s="28" t="s">
        <v>32</v>
      </c>
      <c r="C20" s="27">
        <f t="shared" si="0"/>
        <v>1284</v>
      </c>
      <c r="D20" s="27">
        <f t="shared" si="1"/>
        <v>360</v>
      </c>
      <c r="E20" s="28" t="s">
        <v>186</v>
      </c>
      <c r="F20" s="83" t="str">
        <f t="shared" si="4"/>
        <v xml:space="preserve">36K8J0045-001-PC </v>
      </c>
      <c r="G20" s="28" t="str">
        <f t="shared" si="10"/>
        <v xml:space="preserve">001 BLACK </v>
      </c>
      <c r="H20" s="30">
        <f t="shared" si="5"/>
        <v>4500505877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360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1501.4879999999998</v>
      </c>
    </row>
    <row r="21" spans="1:32" s="42" customFormat="1" ht="27.75" customHeight="1">
      <c r="A21" s="27">
        <f t="shared" si="9"/>
        <v>1285</v>
      </c>
      <c r="B21" s="28" t="s">
        <v>32</v>
      </c>
      <c r="C21" s="27">
        <f t="shared" si="0"/>
        <v>1668</v>
      </c>
      <c r="D21" s="27">
        <f t="shared" si="1"/>
        <v>384</v>
      </c>
      <c r="E21" s="28" t="s">
        <v>187</v>
      </c>
      <c r="F21" s="83" t="str">
        <f t="shared" si="4"/>
        <v xml:space="preserve">36K8J0045-001-PC </v>
      </c>
      <c r="G21" s="28" t="str">
        <f t="shared" si="10"/>
        <v xml:space="preserve">001 BLACK </v>
      </c>
      <c r="H21" s="30">
        <f t="shared" si="5"/>
        <v>4500505877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si="2"/>
        <v>1</v>
      </c>
      <c r="R21" s="28">
        <v>384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si="3"/>
        <v>1601.5871999999999</v>
      </c>
    </row>
    <row r="22" spans="1:32" s="42" customFormat="1" ht="27.75" customHeight="1">
      <c r="A22" s="27">
        <f t="shared" si="9"/>
        <v>1669</v>
      </c>
      <c r="B22" s="28" t="s">
        <v>32</v>
      </c>
      <c r="C22" s="27">
        <f t="shared" si="0"/>
        <v>1980</v>
      </c>
      <c r="D22" s="27">
        <f t="shared" si="1"/>
        <v>312</v>
      </c>
      <c r="E22" s="28" t="s">
        <v>188</v>
      </c>
      <c r="F22" s="83" t="str">
        <f t="shared" si="4"/>
        <v xml:space="preserve">36K8J0045-001-PC </v>
      </c>
      <c r="G22" s="28" t="str">
        <f t="shared" si="10"/>
        <v xml:space="preserve">001 BLACK 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2"/>
        <v>1</v>
      </c>
      <c r="R22" s="28">
        <v>312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3"/>
        <v>1301.2896000000001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1980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1980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59.173367441860464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36K8J0045-001-PC </v>
      </c>
      <c r="G28" s="107" t="str">
        <f>+G16</f>
        <v xml:space="preserve">001 BLACK </v>
      </c>
      <c r="H28" s="68">
        <f>+H16</f>
        <v>4500505877</v>
      </c>
      <c r="I28" s="86">
        <f t="shared" ref="I28:O28" si="11">+I16*$D$16</f>
        <v>180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180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36K8J0045-001-PC </v>
      </c>
      <c r="G29" s="107" t="str">
        <f>+G28</f>
        <v xml:space="preserve">001 BLACK </v>
      </c>
      <c r="H29" s="68">
        <f>+H28</f>
        <v>4500505877</v>
      </c>
      <c r="I29" s="86">
        <f t="shared" ref="I29:O29" si="12">+I17*$D$17</f>
        <v>0</v>
      </c>
      <c r="J29" s="86">
        <f t="shared" si="12"/>
        <v>204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204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36K8J0045-001-PC </v>
      </c>
      <c r="G30" s="107" t="str">
        <f>+G16</f>
        <v xml:space="preserve">001 BLACK 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252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252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36K8J0045-001-PC </v>
      </c>
      <c r="G31" s="107" t="str">
        <f>+G19</f>
        <v xml:space="preserve">001 BLACK 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288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288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36K8J0045-001-PC </v>
      </c>
      <c r="G32" s="107" t="str">
        <f>+G31</f>
        <v xml:space="preserve">001 BLACK 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360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360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36K8J0045-001-PC </v>
      </c>
      <c r="G33" s="107" t="str">
        <f>+G21</f>
        <v xml:space="preserve">001 BLACK 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384</v>
      </c>
      <c r="O33" s="86">
        <f t="shared" si="17"/>
        <v>0</v>
      </c>
      <c r="P33" s="70"/>
      <c r="Q33" s="71">
        <f t="shared" si="13"/>
        <v>384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36K8J0045-001-PC </v>
      </c>
      <c r="G34" s="107" t="str">
        <f>+G33</f>
        <v xml:space="preserve">001 BLACK 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312</v>
      </c>
      <c r="P34" s="69">
        <v>0</v>
      </c>
      <c r="Q34" s="71">
        <f t="shared" si="13"/>
        <v>312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180</v>
      </c>
      <c r="J35" s="71">
        <f t="shared" ref="J35:O35" si="19">SUM(J28:J34)</f>
        <v>204</v>
      </c>
      <c r="K35" s="71">
        <f t="shared" si="19"/>
        <v>252</v>
      </c>
      <c r="L35" s="71">
        <f t="shared" si="19"/>
        <v>288</v>
      </c>
      <c r="M35" s="71">
        <f t="shared" si="19"/>
        <v>360</v>
      </c>
      <c r="N35" s="71">
        <f t="shared" si="19"/>
        <v>384</v>
      </c>
      <c r="O35" s="71">
        <f t="shared" si="19"/>
        <v>312</v>
      </c>
      <c r="P35" s="71"/>
      <c r="Q35" s="71">
        <f>SUM(I35:P35)</f>
        <v>1980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20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153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148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149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2400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3" t="s">
        <v>148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48</v>
      </c>
      <c r="D16" s="27">
        <f t="shared" ref="D16:D22" si="1">+R16/Q16</f>
        <v>48</v>
      </c>
      <c r="E16" s="28" t="s">
        <v>189</v>
      </c>
      <c r="F16" s="83" t="str">
        <f>+$D$7</f>
        <v xml:space="preserve">36K8J0045-022-PC </v>
      </c>
      <c r="G16" s="28" t="s">
        <v>152</v>
      </c>
      <c r="H16" s="30">
        <f>+$D$8</f>
        <v>4500505877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</v>
      </c>
      <c r="R16" s="28">
        <v>48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2" si="3">AD16*D16</f>
        <v>173.98079999999999</v>
      </c>
    </row>
    <row r="17" spans="1:32" s="42" customFormat="1" ht="27.75" customHeight="1">
      <c r="A17" s="27">
        <f>+C16+1</f>
        <v>49</v>
      </c>
      <c r="B17" s="28" t="s">
        <v>32</v>
      </c>
      <c r="C17" s="27">
        <f t="shared" si="0"/>
        <v>288</v>
      </c>
      <c r="D17" s="27">
        <f t="shared" si="1"/>
        <v>240</v>
      </c>
      <c r="E17" s="28" t="s">
        <v>190</v>
      </c>
      <c r="F17" s="83" t="str">
        <f t="shared" ref="F17:F22" si="4">+$D$7</f>
        <v xml:space="preserve">36K8J0045-022-PC </v>
      </c>
      <c r="G17" s="28" t="str">
        <f>+$G$16</f>
        <v>022 OXFORD GREY HE</v>
      </c>
      <c r="H17" s="30">
        <f t="shared" ref="H17:H22" si="5">+$D$8</f>
        <v>4500505877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240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912.52800000000002</v>
      </c>
    </row>
    <row r="18" spans="1:32" s="42" customFormat="1" ht="27.75" customHeight="1">
      <c r="A18" s="27">
        <f t="shared" ref="A18:A22" si="9">+C17+1</f>
        <v>289</v>
      </c>
      <c r="B18" s="28" t="s">
        <v>32</v>
      </c>
      <c r="C18" s="27">
        <f t="shared" si="0"/>
        <v>744</v>
      </c>
      <c r="D18" s="27">
        <f t="shared" si="1"/>
        <v>456</v>
      </c>
      <c r="E18" s="28" t="s">
        <v>191</v>
      </c>
      <c r="F18" s="83" t="str">
        <f t="shared" si="4"/>
        <v xml:space="preserve">36K8J0045-022-PC </v>
      </c>
      <c r="G18" s="28" t="str">
        <f t="shared" ref="G18:G22" si="10">+$G$16</f>
        <v>022 OXFORD GREY HE</v>
      </c>
      <c r="H18" s="30">
        <f t="shared" si="5"/>
        <v>4500505877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456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1733.8032000000001</v>
      </c>
    </row>
    <row r="19" spans="1:32" s="42" customFormat="1" ht="27.75" customHeight="1">
      <c r="A19" s="27">
        <f t="shared" si="9"/>
        <v>745</v>
      </c>
      <c r="B19" s="28" t="s">
        <v>32</v>
      </c>
      <c r="C19" s="27">
        <f t="shared" si="0"/>
        <v>1032</v>
      </c>
      <c r="D19" s="27">
        <f t="shared" si="1"/>
        <v>288</v>
      </c>
      <c r="E19" s="28" t="s">
        <v>192</v>
      </c>
      <c r="F19" s="83" t="str">
        <f t="shared" si="4"/>
        <v xml:space="preserve">36K8J0045-022-PC </v>
      </c>
      <c r="G19" s="28" t="str">
        <f t="shared" si="10"/>
        <v>022 OXFORD GREY HE</v>
      </c>
      <c r="H19" s="30">
        <f t="shared" si="5"/>
        <v>4500505877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288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1201.1904</v>
      </c>
    </row>
    <row r="20" spans="1:32" s="42" customFormat="1" ht="27.75" customHeight="1">
      <c r="A20" s="27">
        <f t="shared" si="9"/>
        <v>1033</v>
      </c>
      <c r="B20" s="28" t="s">
        <v>32</v>
      </c>
      <c r="C20" s="27">
        <f t="shared" si="0"/>
        <v>1320</v>
      </c>
      <c r="D20" s="27">
        <f t="shared" si="1"/>
        <v>288</v>
      </c>
      <c r="E20" s="28" t="s">
        <v>193</v>
      </c>
      <c r="F20" s="83" t="str">
        <f t="shared" si="4"/>
        <v xml:space="preserve">36K8J0045-022-PC </v>
      </c>
      <c r="G20" s="28" t="str">
        <f t="shared" si="10"/>
        <v>022 OXFORD GREY HE</v>
      </c>
      <c r="H20" s="30">
        <f t="shared" si="5"/>
        <v>4500505877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288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1201.1904</v>
      </c>
    </row>
    <row r="21" spans="1:32" s="42" customFormat="1" ht="27.75" customHeight="1">
      <c r="A21" s="27">
        <f t="shared" si="9"/>
        <v>1321</v>
      </c>
      <c r="B21" s="28" t="s">
        <v>32</v>
      </c>
      <c r="C21" s="27">
        <f t="shared" si="0"/>
        <v>2088</v>
      </c>
      <c r="D21" s="27">
        <f t="shared" si="1"/>
        <v>768</v>
      </c>
      <c r="E21" s="28" t="s">
        <v>194</v>
      </c>
      <c r="F21" s="83" t="str">
        <f t="shared" si="4"/>
        <v xml:space="preserve">36K8J0045-022-PC </v>
      </c>
      <c r="G21" s="28" t="str">
        <f t="shared" si="10"/>
        <v>022 OXFORD GREY HE</v>
      </c>
      <c r="H21" s="30">
        <f t="shared" si="5"/>
        <v>4500505877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si="2"/>
        <v>1</v>
      </c>
      <c r="R21" s="28">
        <v>768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si="3"/>
        <v>3203.1743999999999</v>
      </c>
    </row>
    <row r="22" spans="1:32" s="42" customFormat="1" ht="27.75" customHeight="1">
      <c r="A22" s="27">
        <f t="shared" si="9"/>
        <v>2089</v>
      </c>
      <c r="B22" s="28" t="s">
        <v>32</v>
      </c>
      <c r="C22" s="27">
        <f t="shared" si="0"/>
        <v>2400</v>
      </c>
      <c r="D22" s="27">
        <f t="shared" si="1"/>
        <v>312</v>
      </c>
      <c r="E22" s="28" t="s">
        <v>195</v>
      </c>
      <c r="F22" s="83" t="str">
        <f t="shared" si="4"/>
        <v xml:space="preserve">36K8J0045-022-PC </v>
      </c>
      <c r="G22" s="28" t="str">
        <f t="shared" si="10"/>
        <v>022 OXFORD GREY HE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2"/>
        <v>1</v>
      </c>
      <c r="R22" s="28">
        <v>312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3"/>
        <v>1301.2896000000001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2400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2400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60.728986046511629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36K8J0045-022-PC </v>
      </c>
      <c r="G28" s="107" t="str">
        <f>+G16</f>
        <v>022 OXFORD GREY HE</v>
      </c>
      <c r="H28" s="68">
        <f>+H16</f>
        <v>4500505877</v>
      </c>
      <c r="I28" s="86">
        <f t="shared" ref="I28:O28" si="11">+I16*$D$16</f>
        <v>48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48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36K8J0045-022-PC </v>
      </c>
      <c r="G29" s="107" t="str">
        <f>+G28</f>
        <v>022 OXFORD GREY HE</v>
      </c>
      <c r="H29" s="68">
        <f>+H28</f>
        <v>4500505877</v>
      </c>
      <c r="I29" s="86">
        <f t="shared" ref="I29:O29" si="12">+I17*$D$17</f>
        <v>0</v>
      </c>
      <c r="J29" s="86">
        <f t="shared" si="12"/>
        <v>240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240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36K8J0045-022-PC </v>
      </c>
      <c r="G30" s="107" t="str">
        <f>+G16</f>
        <v>022 OXFORD GREY HE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456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456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36K8J0045-022-PC </v>
      </c>
      <c r="G31" s="107" t="str">
        <f>+G19</f>
        <v>022 OXFORD GREY HE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288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288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36K8J0045-022-PC </v>
      </c>
      <c r="G32" s="107" t="str">
        <f>+G31</f>
        <v>022 OXFORD GREY HE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288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288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36K8J0045-022-PC </v>
      </c>
      <c r="G33" s="107" t="str">
        <f>+G21</f>
        <v>022 OXFORD GREY HE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768</v>
      </c>
      <c r="O33" s="86">
        <f t="shared" si="17"/>
        <v>0</v>
      </c>
      <c r="P33" s="70"/>
      <c r="Q33" s="71">
        <f t="shared" si="13"/>
        <v>768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36K8J0045-022-PC </v>
      </c>
      <c r="G34" s="107" t="str">
        <f>+G33</f>
        <v>022 OXFORD GREY HE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312</v>
      </c>
      <c r="P34" s="69">
        <v>0</v>
      </c>
      <c r="Q34" s="71">
        <f t="shared" si="13"/>
        <v>312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48</v>
      </c>
      <c r="J35" s="71">
        <f t="shared" ref="J35:O35" si="19">SUM(J28:J34)</f>
        <v>240</v>
      </c>
      <c r="K35" s="71">
        <f t="shared" si="19"/>
        <v>456</v>
      </c>
      <c r="L35" s="71">
        <f t="shared" si="19"/>
        <v>288</v>
      </c>
      <c r="M35" s="71">
        <f t="shared" si="19"/>
        <v>288</v>
      </c>
      <c r="N35" s="71">
        <f t="shared" si="19"/>
        <v>768</v>
      </c>
      <c r="O35" s="71">
        <f t="shared" si="19"/>
        <v>312</v>
      </c>
      <c r="P35" s="71"/>
      <c r="Q35" s="71">
        <f>SUM(I35:P35)</f>
        <v>2400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zoomScale="80" zoomScaleNormal="80" zoomScaleSheetLayoutView="73" workbookViewId="0">
      <pane xSplit="8" ySplit="15" topLeftCell="I20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defaultRowHeight="16.5"/>
  <cols>
    <col min="1" max="1" width="5.7109375" style="73" customWidth="1"/>
    <col min="2" max="2" width="2.140625" style="73" customWidth="1"/>
    <col min="3" max="3" width="8.5703125" style="73" customWidth="1"/>
    <col min="4" max="4" width="14.28515625" style="73" customWidth="1"/>
    <col min="5" max="5" width="30.42578125" style="73" customWidth="1"/>
    <col min="6" max="6" width="21.42578125" style="73" customWidth="1"/>
    <col min="7" max="7" width="22.5703125" style="73" customWidth="1"/>
    <col min="8" max="8" width="12.5703125" style="73" customWidth="1"/>
    <col min="9" max="15" width="7" style="73" customWidth="1"/>
    <col min="16" max="16" width="7" style="73" hidden="1" customWidth="1"/>
    <col min="17" max="17" width="7.7109375" style="73" customWidth="1"/>
    <col min="18" max="18" width="11.42578125" style="73" customWidth="1"/>
    <col min="19" max="19" width="8.7109375" style="73" customWidth="1"/>
    <col min="20" max="20" width="7.42578125" style="73" customWidth="1"/>
    <col min="21" max="21" width="8.42578125" style="73" customWidth="1"/>
    <col min="22" max="22" width="9.85546875" style="73" customWidth="1"/>
    <col min="23" max="23" width="14" style="73" customWidth="1"/>
    <col min="24" max="25" width="11.28515625" style="73" customWidth="1"/>
    <col min="26" max="26" width="9.140625" style="73" customWidth="1"/>
    <col min="27" max="27" width="28.7109375" style="73" customWidth="1"/>
    <col min="28" max="249" width="9.140625" style="73"/>
    <col min="250" max="250" width="6.85546875" style="73" customWidth="1"/>
    <col min="251" max="251" width="2.140625" style="73" customWidth="1"/>
    <col min="252" max="252" width="6.140625" style="73" customWidth="1"/>
    <col min="253" max="253" width="8.85546875" style="73" customWidth="1"/>
    <col min="254" max="254" width="28.42578125" style="73" customWidth="1"/>
    <col min="255" max="255" width="13.85546875" style="73" customWidth="1"/>
    <col min="256" max="256" width="8.42578125" style="73" customWidth="1"/>
    <col min="257" max="260" width="0" style="73" hidden="1" customWidth="1"/>
    <col min="261" max="261" width="5.28515625" style="73" customWidth="1"/>
    <col min="262" max="262" width="5.5703125" style="73" customWidth="1"/>
    <col min="263" max="263" width="6" style="73" customWidth="1"/>
    <col min="264" max="264" width="5.5703125" style="73" customWidth="1"/>
    <col min="265" max="266" width="5.7109375" style="73" customWidth="1"/>
    <col min="267" max="267" width="9.85546875" style="73" customWidth="1"/>
    <col min="268" max="268" width="9.7109375" style="73" customWidth="1"/>
    <col min="269" max="269" width="8.85546875" style="73" customWidth="1"/>
    <col min="270" max="270" width="10" style="73" customWidth="1"/>
    <col min="271" max="271" width="8.28515625" style="73" customWidth="1"/>
    <col min="272" max="272" width="9.5703125" style="73" customWidth="1"/>
    <col min="273" max="273" width="15.5703125" style="73" customWidth="1"/>
    <col min="274" max="505" width="9.140625" style="73"/>
    <col min="506" max="506" width="6.85546875" style="73" customWidth="1"/>
    <col min="507" max="507" width="2.140625" style="73" customWidth="1"/>
    <col min="508" max="508" width="6.140625" style="73" customWidth="1"/>
    <col min="509" max="509" width="8.85546875" style="73" customWidth="1"/>
    <col min="510" max="510" width="28.42578125" style="73" customWidth="1"/>
    <col min="511" max="511" width="13.85546875" style="73" customWidth="1"/>
    <col min="512" max="512" width="8.42578125" style="73" customWidth="1"/>
    <col min="513" max="516" width="0" style="73" hidden="1" customWidth="1"/>
    <col min="517" max="517" width="5.28515625" style="73" customWidth="1"/>
    <col min="518" max="518" width="5.5703125" style="73" customWidth="1"/>
    <col min="519" max="519" width="6" style="73" customWidth="1"/>
    <col min="520" max="520" width="5.5703125" style="73" customWidth="1"/>
    <col min="521" max="522" width="5.7109375" style="73" customWidth="1"/>
    <col min="523" max="523" width="9.85546875" style="73" customWidth="1"/>
    <col min="524" max="524" width="9.7109375" style="73" customWidth="1"/>
    <col min="525" max="525" width="8.85546875" style="73" customWidth="1"/>
    <col min="526" max="526" width="10" style="73" customWidth="1"/>
    <col min="527" max="527" width="8.28515625" style="73" customWidth="1"/>
    <col min="528" max="528" width="9.5703125" style="73" customWidth="1"/>
    <col min="529" max="529" width="15.5703125" style="73" customWidth="1"/>
    <col min="530" max="761" width="9.140625" style="73"/>
    <col min="762" max="762" width="6.85546875" style="73" customWidth="1"/>
    <col min="763" max="763" width="2.140625" style="73" customWidth="1"/>
    <col min="764" max="764" width="6.140625" style="73" customWidth="1"/>
    <col min="765" max="765" width="8.85546875" style="73" customWidth="1"/>
    <col min="766" max="766" width="28.42578125" style="73" customWidth="1"/>
    <col min="767" max="767" width="13.85546875" style="73" customWidth="1"/>
    <col min="768" max="768" width="8.42578125" style="73" customWidth="1"/>
    <col min="769" max="772" width="0" style="73" hidden="1" customWidth="1"/>
    <col min="773" max="773" width="5.28515625" style="73" customWidth="1"/>
    <col min="774" max="774" width="5.5703125" style="73" customWidth="1"/>
    <col min="775" max="775" width="6" style="73" customWidth="1"/>
    <col min="776" max="776" width="5.5703125" style="73" customWidth="1"/>
    <col min="777" max="778" width="5.7109375" style="73" customWidth="1"/>
    <col min="779" max="779" width="9.85546875" style="73" customWidth="1"/>
    <col min="780" max="780" width="9.7109375" style="73" customWidth="1"/>
    <col min="781" max="781" width="8.85546875" style="73" customWidth="1"/>
    <col min="782" max="782" width="10" style="73" customWidth="1"/>
    <col min="783" max="783" width="8.28515625" style="73" customWidth="1"/>
    <col min="784" max="784" width="9.5703125" style="73" customWidth="1"/>
    <col min="785" max="785" width="15.5703125" style="73" customWidth="1"/>
    <col min="786" max="1017" width="9.140625" style="73"/>
    <col min="1018" max="1018" width="6.85546875" style="73" customWidth="1"/>
    <col min="1019" max="1019" width="2.140625" style="73" customWidth="1"/>
    <col min="1020" max="1020" width="6.140625" style="73" customWidth="1"/>
    <col min="1021" max="1021" width="8.85546875" style="73" customWidth="1"/>
    <col min="1022" max="1022" width="28.42578125" style="73" customWidth="1"/>
    <col min="1023" max="1023" width="13.85546875" style="73" customWidth="1"/>
    <col min="1024" max="1024" width="8.42578125" style="73" customWidth="1"/>
    <col min="1025" max="1028" width="0" style="73" hidden="1" customWidth="1"/>
    <col min="1029" max="1029" width="5.28515625" style="73" customWidth="1"/>
    <col min="1030" max="1030" width="5.5703125" style="73" customWidth="1"/>
    <col min="1031" max="1031" width="6" style="73" customWidth="1"/>
    <col min="1032" max="1032" width="5.5703125" style="73" customWidth="1"/>
    <col min="1033" max="1034" width="5.7109375" style="73" customWidth="1"/>
    <col min="1035" max="1035" width="9.85546875" style="73" customWidth="1"/>
    <col min="1036" max="1036" width="9.7109375" style="73" customWidth="1"/>
    <col min="1037" max="1037" width="8.85546875" style="73" customWidth="1"/>
    <col min="1038" max="1038" width="10" style="73" customWidth="1"/>
    <col min="1039" max="1039" width="8.28515625" style="73" customWidth="1"/>
    <col min="1040" max="1040" width="9.5703125" style="73" customWidth="1"/>
    <col min="1041" max="1041" width="15.5703125" style="73" customWidth="1"/>
    <col min="1042" max="1273" width="9.140625" style="73"/>
    <col min="1274" max="1274" width="6.85546875" style="73" customWidth="1"/>
    <col min="1275" max="1275" width="2.140625" style="73" customWidth="1"/>
    <col min="1276" max="1276" width="6.140625" style="73" customWidth="1"/>
    <col min="1277" max="1277" width="8.85546875" style="73" customWidth="1"/>
    <col min="1278" max="1278" width="28.42578125" style="73" customWidth="1"/>
    <col min="1279" max="1279" width="13.85546875" style="73" customWidth="1"/>
    <col min="1280" max="1280" width="8.42578125" style="73" customWidth="1"/>
    <col min="1281" max="1284" width="0" style="73" hidden="1" customWidth="1"/>
    <col min="1285" max="1285" width="5.28515625" style="73" customWidth="1"/>
    <col min="1286" max="1286" width="5.5703125" style="73" customWidth="1"/>
    <col min="1287" max="1287" width="6" style="73" customWidth="1"/>
    <col min="1288" max="1288" width="5.5703125" style="73" customWidth="1"/>
    <col min="1289" max="1290" width="5.7109375" style="73" customWidth="1"/>
    <col min="1291" max="1291" width="9.85546875" style="73" customWidth="1"/>
    <col min="1292" max="1292" width="9.7109375" style="73" customWidth="1"/>
    <col min="1293" max="1293" width="8.85546875" style="73" customWidth="1"/>
    <col min="1294" max="1294" width="10" style="73" customWidth="1"/>
    <col min="1295" max="1295" width="8.28515625" style="73" customWidth="1"/>
    <col min="1296" max="1296" width="9.5703125" style="73" customWidth="1"/>
    <col min="1297" max="1297" width="15.5703125" style="73" customWidth="1"/>
    <col min="1298" max="1529" width="9.140625" style="73"/>
    <col min="1530" max="1530" width="6.85546875" style="73" customWidth="1"/>
    <col min="1531" max="1531" width="2.140625" style="73" customWidth="1"/>
    <col min="1532" max="1532" width="6.140625" style="73" customWidth="1"/>
    <col min="1533" max="1533" width="8.85546875" style="73" customWidth="1"/>
    <col min="1534" max="1534" width="28.42578125" style="73" customWidth="1"/>
    <col min="1535" max="1535" width="13.85546875" style="73" customWidth="1"/>
    <col min="1536" max="1536" width="8.42578125" style="73" customWidth="1"/>
    <col min="1537" max="1540" width="0" style="73" hidden="1" customWidth="1"/>
    <col min="1541" max="1541" width="5.28515625" style="73" customWidth="1"/>
    <col min="1542" max="1542" width="5.5703125" style="73" customWidth="1"/>
    <col min="1543" max="1543" width="6" style="73" customWidth="1"/>
    <col min="1544" max="1544" width="5.5703125" style="73" customWidth="1"/>
    <col min="1545" max="1546" width="5.7109375" style="73" customWidth="1"/>
    <col min="1547" max="1547" width="9.85546875" style="73" customWidth="1"/>
    <col min="1548" max="1548" width="9.7109375" style="73" customWidth="1"/>
    <col min="1549" max="1549" width="8.85546875" style="73" customWidth="1"/>
    <col min="1550" max="1550" width="10" style="73" customWidth="1"/>
    <col min="1551" max="1551" width="8.28515625" style="73" customWidth="1"/>
    <col min="1552" max="1552" width="9.5703125" style="73" customWidth="1"/>
    <col min="1553" max="1553" width="15.5703125" style="73" customWidth="1"/>
    <col min="1554" max="1785" width="9.140625" style="73"/>
    <col min="1786" max="1786" width="6.85546875" style="73" customWidth="1"/>
    <col min="1787" max="1787" width="2.140625" style="73" customWidth="1"/>
    <col min="1788" max="1788" width="6.140625" style="73" customWidth="1"/>
    <col min="1789" max="1789" width="8.85546875" style="73" customWidth="1"/>
    <col min="1790" max="1790" width="28.42578125" style="73" customWidth="1"/>
    <col min="1791" max="1791" width="13.85546875" style="73" customWidth="1"/>
    <col min="1792" max="1792" width="8.42578125" style="73" customWidth="1"/>
    <col min="1793" max="1796" width="0" style="73" hidden="1" customWidth="1"/>
    <col min="1797" max="1797" width="5.28515625" style="73" customWidth="1"/>
    <col min="1798" max="1798" width="5.5703125" style="73" customWidth="1"/>
    <col min="1799" max="1799" width="6" style="73" customWidth="1"/>
    <col min="1800" max="1800" width="5.5703125" style="73" customWidth="1"/>
    <col min="1801" max="1802" width="5.7109375" style="73" customWidth="1"/>
    <col min="1803" max="1803" width="9.85546875" style="73" customWidth="1"/>
    <col min="1804" max="1804" width="9.7109375" style="73" customWidth="1"/>
    <col min="1805" max="1805" width="8.85546875" style="73" customWidth="1"/>
    <col min="1806" max="1806" width="10" style="73" customWidth="1"/>
    <col min="1807" max="1807" width="8.28515625" style="73" customWidth="1"/>
    <col min="1808" max="1808" width="9.5703125" style="73" customWidth="1"/>
    <col min="1809" max="1809" width="15.5703125" style="73" customWidth="1"/>
    <col min="1810" max="2041" width="9.140625" style="73"/>
    <col min="2042" max="2042" width="6.85546875" style="73" customWidth="1"/>
    <col min="2043" max="2043" width="2.140625" style="73" customWidth="1"/>
    <col min="2044" max="2044" width="6.140625" style="73" customWidth="1"/>
    <col min="2045" max="2045" width="8.85546875" style="73" customWidth="1"/>
    <col min="2046" max="2046" width="28.42578125" style="73" customWidth="1"/>
    <col min="2047" max="2047" width="13.85546875" style="73" customWidth="1"/>
    <col min="2048" max="2048" width="8.42578125" style="73" customWidth="1"/>
    <col min="2049" max="2052" width="0" style="73" hidden="1" customWidth="1"/>
    <col min="2053" max="2053" width="5.28515625" style="73" customWidth="1"/>
    <col min="2054" max="2054" width="5.5703125" style="73" customWidth="1"/>
    <col min="2055" max="2055" width="6" style="73" customWidth="1"/>
    <col min="2056" max="2056" width="5.5703125" style="73" customWidth="1"/>
    <col min="2057" max="2058" width="5.7109375" style="73" customWidth="1"/>
    <col min="2059" max="2059" width="9.85546875" style="73" customWidth="1"/>
    <col min="2060" max="2060" width="9.7109375" style="73" customWidth="1"/>
    <col min="2061" max="2061" width="8.85546875" style="73" customWidth="1"/>
    <col min="2062" max="2062" width="10" style="73" customWidth="1"/>
    <col min="2063" max="2063" width="8.28515625" style="73" customWidth="1"/>
    <col min="2064" max="2064" width="9.5703125" style="73" customWidth="1"/>
    <col min="2065" max="2065" width="15.5703125" style="73" customWidth="1"/>
    <col min="2066" max="2297" width="9.140625" style="73"/>
    <col min="2298" max="2298" width="6.85546875" style="73" customWidth="1"/>
    <col min="2299" max="2299" width="2.140625" style="73" customWidth="1"/>
    <col min="2300" max="2300" width="6.140625" style="73" customWidth="1"/>
    <col min="2301" max="2301" width="8.85546875" style="73" customWidth="1"/>
    <col min="2302" max="2302" width="28.42578125" style="73" customWidth="1"/>
    <col min="2303" max="2303" width="13.85546875" style="73" customWidth="1"/>
    <col min="2304" max="2304" width="8.42578125" style="73" customWidth="1"/>
    <col min="2305" max="2308" width="0" style="73" hidden="1" customWidth="1"/>
    <col min="2309" max="2309" width="5.28515625" style="73" customWidth="1"/>
    <col min="2310" max="2310" width="5.5703125" style="73" customWidth="1"/>
    <col min="2311" max="2311" width="6" style="73" customWidth="1"/>
    <col min="2312" max="2312" width="5.5703125" style="73" customWidth="1"/>
    <col min="2313" max="2314" width="5.7109375" style="73" customWidth="1"/>
    <col min="2315" max="2315" width="9.85546875" style="73" customWidth="1"/>
    <col min="2316" max="2316" width="9.7109375" style="73" customWidth="1"/>
    <col min="2317" max="2317" width="8.85546875" style="73" customWidth="1"/>
    <col min="2318" max="2318" width="10" style="73" customWidth="1"/>
    <col min="2319" max="2319" width="8.28515625" style="73" customWidth="1"/>
    <col min="2320" max="2320" width="9.5703125" style="73" customWidth="1"/>
    <col min="2321" max="2321" width="15.5703125" style="73" customWidth="1"/>
    <col min="2322" max="2553" width="9.140625" style="73"/>
    <col min="2554" max="2554" width="6.85546875" style="73" customWidth="1"/>
    <col min="2555" max="2555" width="2.140625" style="73" customWidth="1"/>
    <col min="2556" max="2556" width="6.140625" style="73" customWidth="1"/>
    <col min="2557" max="2557" width="8.85546875" style="73" customWidth="1"/>
    <col min="2558" max="2558" width="28.42578125" style="73" customWidth="1"/>
    <col min="2559" max="2559" width="13.85546875" style="73" customWidth="1"/>
    <col min="2560" max="2560" width="8.42578125" style="73" customWidth="1"/>
    <col min="2561" max="2564" width="0" style="73" hidden="1" customWidth="1"/>
    <col min="2565" max="2565" width="5.28515625" style="73" customWidth="1"/>
    <col min="2566" max="2566" width="5.5703125" style="73" customWidth="1"/>
    <col min="2567" max="2567" width="6" style="73" customWidth="1"/>
    <col min="2568" max="2568" width="5.5703125" style="73" customWidth="1"/>
    <col min="2569" max="2570" width="5.7109375" style="73" customWidth="1"/>
    <col min="2571" max="2571" width="9.85546875" style="73" customWidth="1"/>
    <col min="2572" max="2572" width="9.7109375" style="73" customWidth="1"/>
    <col min="2573" max="2573" width="8.85546875" style="73" customWidth="1"/>
    <col min="2574" max="2574" width="10" style="73" customWidth="1"/>
    <col min="2575" max="2575" width="8.28515625" style="73" customWidth="1"/>
    <col min="2576" max="2576" width="9.5703125" style="73" customWidth="1"/>
    <col min="2577" max="2577" width="15.5703125" style="73" customWidth="1"/>
    <col min="2578" max="2809" width="9.140625" style="73"/>
    <col min="2810" max="2810" width="6.85546875" style="73" customWidth="1"/>
    <col min="2811" max="2811" width="2.140625" style="73" customWidth="1"/>
    <col min="2812" max="2812" width="6.140625" style="73" customWidth="1"/>
    <col min="2813" max="2813" width="8.85546875" style="73" customWidth="1"/>
    <col min="2814" max="2814" width="28.42578125" style="73" customWidth="1"/>
    <col min="2815" max="2815" width="13.85546875" style="73" customWidth="1"/>
    <col min="2816" max="2816" width="8.42578125" style="73" customWidth="1"/>
    <col min="2817" max="2820" width="0" style="73" hidden="1" customWidth="1"/>
    <col min="2821" max="2821" width="5.28515625" style="73" customWidth="1"/>
    <col min="2822" max="2822" width="5.5703125" style="73" customWidth="1"/>
    <col min="2823" max="2823" width="6" style="73" customWidth="1"/>
    <col min="2824" max="2824" width="5.5703125" style="73" customWidth="1"/>
    <col min="2825" max="2826" width="5.7109375" style="73" customWidth="1"/>
    <col min="2827" max="2827" width="9.85546875" style="73" customWidth="1"/>
    <col min="2828" max="2828" width="9.7109375" style="73" customWidth="1"/>
    <col min="2829" max="2829" width="8.85546875" style="73" customWidth="1"/>
    <col min="2830" max="2830" width="10" style="73" customWidth="1"/>
    <col min="2831" max="2831" width="8.28515625" style="73" customWidth="1"/>
    <col min="2832" max="2832" width="9.5703125" style="73" customWidth="1"/>
    <col min="2833" max="2833" width="15.5703125" style="73" customWidth="1"/>
    <col min="2834" max="3065" width="9.140625" style="73"/>
    <col min="3066" max="3066" width="6.85546875" style="73" customWidth="1"/>
    <col min="3067" max="3067" width="2.140625" style="73" customWidth="1"/>
    <col min="3068" max="3068" width="6.140625" style="73" customWidth="1"/>
    <col min="3069" max="3069" width="8.85546875" style="73" customWidth="1"/>
    <col min="3070" max="3070" width="28.42578125" style="73" customWidth="1"/>
    <col min="3071" max="3071" width="13.85546875" style="73" customWidth="1"/>
    <col min="3072" max="3072" width="8.42578125" style="73" customWidth="1"/>
    <col min="3073" max="3076" width="0" style="73" hidden="1" customWidth="1"/>
    <col min="3077" max="3077" width="5.28515625" style="73" customWidth="1"/>
    <col min="3078" max="3078" width="5.5703125" style="73" customWidth="1"/>
    <col min="3079" max="3079" width="6" style="73" customWidth="1"/>
    <col min="3080" max="3080" width="5.5703125" style="73" customWidth="1"/>
    <col min="3081" max="3082" width="5.7109375" style="73" customWidth="1"/>
    <col min="3083" max="3083" width="9.85546875" style="73" customWidth="1"/>
    <col min="3084" max="3084" width="9.7109375" style="73" customWidth="1"/>
    <col min="3085" max="3085" width="8.85546875" style="73" customWidth="1"/>
    <col min="3086" max="3086" width="10" style="73" customWidth="1"/>
    <col min="3087" max="3087" width="8.28515625" style="73" customWidth="1"/>
    <col min="3088" max="3088" width="9.5703125" style="73" customWidth="1"/>
    <col min="3089" max="3089" width="15.5703125" style="73" customWidth="1"/>
    <col min="3090" max="3321" width="9.140625" style="73"/>
    <col min="3322" max="3322" width="6.85546875" style="73" customWidth="1"/>
    <col min="3323" max="3323" width="2.140625" style="73" customWidth="1"/>
    <col min="3324" max="3324" width="6.140625" style="73" customWidth="1"/>
    <col min="3325" max="3325" width="8.85546875" style="73" customWidth="1"/>
    <col min="3326" max="3326" width="28.42578125" style="73" customWidth="1"/>
    <col min="3327" max="3327" width="13.85546875" style="73" customWidth="1"/>
    <col min="3328" max="3328" width="8.42578125" style="73" customWidth="1"/>
    <col min="3329" max="3332" width="0" style="73" hidden="1" customWidth="1"/>
    <col min="3333" max="3333" width="5.28515625" style="73" customWidth="1"/>
    <col min="3334" max="3334" width="5.5703125" style="73" customWidth="1"/>
    <col min="3335" max="3335" width="6" style="73" customWidth="1"/>
    <col min="3336" max="3336" width="5.5703125" style="73" customWidth="1"/>
    <col min="3337" max="3338" width="5.7109375" style="73" customWidth="1"/>
    <col min="3339" max="3339" width="9.85546875" style="73" customWidth="1"/>
    <col min="3340" max="3340" width="9.7109375" style="73" customWidth="1"/>
    <col min="3341" max="3341" width="8.85546875" style="73" customWidth="1"/>
    <col min="3342" max="3342" width="10" style="73" customWidth="1"/>
    <col min="3343" max="3343" width="8.28515625" style="73" customWidth="1"/>
    <col min="3344" max="3344" width="9.5703125" style="73" customWidth="1"/>
    <col min="3345" max="3345" width="15.5703125" style="73" customWidth="1"/>
    <col min="3346" max="3577" width="9.140625" style="73"/>
    <col min="3578" max="3578" width="6.85546875" style="73" customWidth="1"/>
    <col min="3579" max="3579" width="2.140625" style="73" customWidth="1"/>
    <col min="3580" max="3580" width="6.140625" style="73" customWidth="1"/>
    <col min="3581" max="3581" width="8.85546875" style="73" customWidth="1"/>
    <col min="3582" max="3582" width="28.42578125" style="73" customWidth="1"/>
    <col min="3583" max="3583" width="13.85546875" style="73" customWidth="1"/>
    <col min="3584" max="3584" width="8.42578125" style="73" customWidth="1"/>
    <col min="3585" max="3588" width="0" style="73" hidden="1" customWidth="1"/>
    <col min="3589" max="3589" width="5.28515625" style="73" customWidth="1"/>
    <col min="3590" max="3590" width="5.5703125" style="73" customWidth="1"/>
    <col min="3591" max="3591" width="6" style="73" customWidth="1"/>
    <col min="3592" max="3592" width="5.5703125" style="73" customWidth="1"/>
    <col min="3593" max="3594" width="5.7109375" style="73" customWidth="1"/>
    <col min="3595" max="3595" width="9.85546875" style="73" customWidth="1"/>
    <col min="3596" max="3596" width="9.7109375" style="73" customWidth="1"/>
    <col min="3597" max="3597" width="8.85546875" style="73" customWidth="1"/>
    <col min="3598" max="3598" width="10" style="73" customWidth="1"/>
    <col min="3599" max="3599" width="8.28515625" style="73" customWidth="1"/>
    <col min="3600" max="3600" width="9.5703125" style="73" customWidth="1"/>
    <col min="3601" max="3601" width="15.5703125" style="73" customWidth="1"/>
    <col min="3602" max="3833" width="9.140625" style="73"/>
    <col min="3834" max="3834" width="6.85546875" style="73" customWidth="1"/>
    <col min="3835" max="3835" width="2.140625" style="73" customWidth="1"/>
    <col min="3836" max="3836" width="6.140625" style="73" customWidth="1"/>
    <col min="3837" max="3837" width="8.85546875" style="73" customWidth="1"/>
    <col min="3838" max="3838" width="28.42578125" style="73" customWidth="1"/>
    <col min="3839" max="3839" width="13.85546875" style="73" customWidth="1"/>
    <col min="3840" max="3840" width="8.42578125" style="73" customWidth="1"/>
    <col min="3841" max="3844" width="0" style="73" hidden="1" customWidth="1"/>
    <col min="3845" max="3845" width="5.28515625" style="73" customWidth="1"/>
    <col min="3846" max="3846" width="5.5703125" style="73" customWidth="1"/>
    <col min="3847" max="3847" width="6" style="73" customWidth="1"/>
    <col min="3848" max="3848" width="5.5703125" style="73" customWidth="1"/>
    <col min="3849" max="3850" width="5.7109375" style="73" customWidth="1"/>
    <col min="3851" max="3851" width="9.85546875" style="73" customWidth="1"/>
    <col min="3852" max="3852" width="9.7109375" style="73" customWidth="1"/>
    <col min="3853" max="3853" width="8.85546875" style="73" customWidth="1"/>
    <col min="3854" max="3854" width="10" style="73" customWidth="1"/>
    <col min="3855" max="3855" width="8.28515625" style="73" customWidth="1"/>
    <col min="3856" max="3856" width="9.5703125" style="73" customWidth="1"/>
    <col min="3857" max="3857" width="15.5703125" style="73" customWidth="1"/>
    <col min="3858" max="4089" width="9.140625" style="73"/>
    <col min="4090" max="4090" width="6.85546875" style="73" customWidth="1"/>
    <col min="4091" max="4091" width="2.140625" style="73" customWidth="1"/>
    <col min="4092" max="4092" width="6.140625" style="73" customWidth="1"/>
    <col min="4093" max="4093" width="8.85546875" style="73" customWidth="1"/>
    <col min="4094" max="4094" width="28.42578125" style="73" customWidth="1"/>
    <col min="4095" max="4095" width="13.85546875" style="73" customWidth="1"/>
    <col min="4096" max="4096" width="8.42578125" style="73" customWidth="1"/>
    <col min="4097" max="4100" width="0" style="73" hidden="1" customWidth="1"/>
    <col min="4101" max="4101" width="5.28515625" style="73" customWidth="1"/>
    <col min="4102" max="4102" width="5.5703125" style="73" customWidth="1"/>
    <col min="4103" max="4103" width="6" style="73" customWidth="1"/>
    <col min="4104" max="4104" width="5.5703125" style="73" customWidth="1"/>
    <col min="4105" max="4106" width="5.7109375" style="73" customWidth="1"/>
    <col min="4107" max="4107" width="9.85546875" style="73" customWidth="1"/>
    <col min="4108" max="4108" width="9.7109375" style="73" customWidth="1"/>
    <col min="4109" max="4109" width="8.85546875" style="73" customWidth="1"/>
    <col min="4110" max="4110" width="10" style="73" customWidth="1"/>
    <col min="4111" max="4111" width="8.28515625" style="73" customWidth="1"/>
    <col min="4112" max="4112" width="9.5703125" style="73" customWidth="1"/>
    <col min="4113" max="4113" width="15.5703125" style="73" customWidth="1"/>
    <col min="4114" max="4345" width="9.140625" style="73"/>
    <col min="4346" max="4346" width="6.85546875" style="73" customWidth="1"/>
    <col min="4347" max="4347" width="2.140625" style="73" customWidth="1"/>
    <col min="4348" max="4348" width="6.140625" style="73" customWidth="1"/>
    <col min="4349" max="4349" width="8.85546875" style="73" customWidth="1"/>
    <col min="4350" max="4350" width="28.42578125" style="73" customWidth="1"/>
    <col min="4351" max="4351" width="13.85546875" style="73" customWidth="1"/>
    <col min="4352" max="4352" width="8.42578125" style="73" customWidth="1"/>
    <col min="4353" max="4356" width="0" style="73" hidden="1" customWidth="1"/>
    <col min="4357" max="4357" width="5.28515625" style="73" customWidth="1"/>
    <col min="4358" max="4358" width="5.5703125" style="73" customWidth="1"/>
    <col min="4359" max="4359" width="6" style="73" customWidth="1"/>
    <col min="4360" max="4360" width="5.5703125" style="73" customWidth="1"/>
    <col min="4361" max="4362" width="5.7109375" style="73" customWidth="1"/>
    <col min="4363" max="4363" width="9.85546875" style="73" customWidth="1"/>
    <col min="4364" max="4364" width="9.7109375" style="73" customWidth="1"/>
    <col min="4365" max="4365" width="8.85546875" style="73" customWidth="1"/>
    <col min="4366" max="4366" width="10" style="73" customWidth="1"/>
    <col min="4367" max="4367" width="8.28515625" style="73" customWidth="1"/>
    <col min="4368" max="4368" width="9.5703125" style="73" customWidth="1"/>
    <col min="4369" max="4369" width="15.5703125" style="73" customWidth="1"/>
    <col min="4370" max="4601" width="9.140625" style="73"/>
    <col min="4602" max="4602" width="6.85546875" style="73" customWidth="1"/>
    <col min="4603" max="4603" width="2.140625" style="73" customWidth="1"/>
    <col min="4604" max="4604" width="6.140625" style="73" customWidth="1"/>
    <col min="4605" max="4605" width="8.85546875" style="73" customWidth="1"/>
    <col min="4606" max="4606" width="28.42578125" style="73" customWidth="1"/>
    <col min="4607" max="4607" width="13.85546875" style="73" customWidth="1"/>
    <col min="4608" max="4608" width="8.42578125" style="73" customWidth="1"/>
    <col min="4609" max="4612" width="0" style="73" hidden="1" customWidth="1"/>
    <col min="4613" max="4613" width="5.28515625" style="73" customWidth="1"/>
    <col min="4614" max="4614" width="5.5703125" style="73" customWidth="1"/>
    <col min="4615" max="4615" width="6" style="73" customWidth="1"/>
    <col min="4616" max="4616" width="5.5703125" style="73" customWidth="1"/>
    <col min="4617" max="4618" width="5.7109375" style="73" customWidth="1"/>
    <col min="4619" max="4619" width="9.85546875" style="73" customWidth="1"/>
    <col min="4620" max="4620" width="9.7109375" style="73" customWidth="1"/>
    <col min="4621" max="4621" width="8.85546875" style="73" customWidth="1"/>
    <col min="4622" max="4622" width="10" style="73" customWidth="1"/>
    <col min="4623" max="4623" width="8.28515625" style="73" customWidth="1"/>
    <col min="4624" max="4624" width="9.5703125" style="73" customWidth="1"/>
    <col min="4625" max="4625" width="15.5703125" style="73" customWidth="1"/>
    <col min="4626" max="4857" width="9.140625" style="73"/>
    <col min="4858" max="4858" width="6.85546875" style="73" customWidth="1"/>
    <col min="4859" max="4859" width="2.140625" style="73" customWidth="1"/>
    <col min="4860" max="4860" width="6.140625" style="73" customWidth="1"/>
    <col min="4861" max="4861" width="8.85546875" style="73" customWidth="1"/>
    <col min="4862" max="4862" width="28.42578125" style="73" customWidth="1"/>
    <col min="4863" max="4863" width="13.85546875" style="73" customWidth="1"/>
    <col min="4864" max="4864" width="8.42578125" style="73" customWidth="1"/>
    <col min="4865" max="4868" width="0" style="73" hidden="1" customWidth="1"/>
    <col min="4869" max="4869" width="5.28515625" style="73" customWidth="1"/>
    <col min="4870" max="4870" width="5.5703125" style="73" customWidth="1"/>
    <col min="4871" max="4871" width="6" style="73" customWidth="1"/>
    <col min="4872" max="4872" width="5.5703125" style="73" customWidth="1"/>
    <col min="4873" max="4874" width="5.7109375" style="73" customWidth="1"/>
    <col min="4875" max="4875" width="9.85546875" style="73" customWidth="1"/>
    <col min="4876" max="4876" width="9.7109375" style="73" customWidth="1"/>
    <col min="4877" max="4877" width="8.85546875" style="73" customWidth="1"/>
    <col min="4878" max="4878" width="10" style="73" customWidth="1"/>
    <col min="4879" max="4879" width="8.28515625" style="73" customWidth="1"/>
    <col min="4880" max="4880" width="9.5703125" style="73" customWidth="1"/>
    <col min="4881" max="4881" width="15.5703125" style="73" customWidth="1"/>
    <col min="4882" max="5113" width="9.140625" style="73"/>
    <col min="5114" max="5114" width="6.85546875" style="73" customWidth="1"/>
    <col min="5115" max="5115" width="2.140625" style="73" customWidth="1"/>
    <col min="5116" max="5116" width="6.140625" style="73" customWidth="1"/>
    <col min="5117" max="5117" width="8.85546875" style="73" customWidth="1"/>
    <col min="5118" max="5118" width="28.42578125" style="73" customWidth="1"/>
    <col min="5119" max="5119" width="13.85546875" style="73" customWidth="1"/>
    <col min="5120" max="5120" width="8.42578125" style="73" customWidth="1"/>
    <col min="5121" max="5124" width="0" style="73" hidden="1" customWidth="1"/>
    <col min="5125" max="5125" width="5.28515625" style="73" customWidth="1"/>
    <col min="5126" max="5126" width="5.5703125" style="73" customWidth="1"/>
    <col min="5127" max="5127" width="6" style="73" customWidth="1"/>
    <col min="5128" max="5128" width="5.5703125" style="73" customWidth="1"/>
    <col min="5129" max="5130" width="5.7109375" style="73" customWidth="1"/>
    <col min="5131" max="5131" width="9.85546875" style="73" customWidth="1"/>
    <col min="5132" max="5132" width="9.7109375" style="73" customWidth="1"/>
    <col min="5133" max="5133" width="8.85546875" style="73" customWidth="1"/>
    <col min="5134" max="5134" width="10" style="73" customWidth="1"/>
    <col min="5135" max="5135" width="8.28515625" style="73" customWidth="1"/>
    <col min="5136" max="5136" width="9.5703125" style="73" customWidth="1"/>
    <col min="5137" max="5137" width="15.5703125" style="73" customWidth="1"/>
    <col min="5138" max="5369" width="9.140625" style="73"/>
    <col min="5370" max="5370" width="6.85546875" style="73" customWidth="1"/>
    <col min="5371" max="5371" width="2.140625" style="73" customWidth="1"/>
    <col min="5372" max="5372" width="6.140625" style="73" customWidth="1"/>
    <col min="5373" max="5373" width="8.85546875" style="73" customWidth="1"/>
    <col min="5374" max="5374" width="28.42578125" style="73" customWidth="1"/>
    <col min="5375" max="5375" width="13.85546875" style="73" customWidth="1"/>
    <col min="5376" max="5376" width="8.42578125" style="73" customWidth="1"/>
    <col min="5377" max="5380" width="0" style="73" hidden="1" customWidth="1"/>
    <col min="5381" max="5381" width="5.28515625" style="73" customWidth="1"/>
    <col min="5382" max="5382" width="5.5703125" style="73" customWidth="1"/>
    <col min="5383" max="5383" width="6" style="73" customWidth="1"/>
    <col min="5384" max="5384" width="5.5703125" style="73" customWidth="1"/>
    <col min="5385" max="5386" width="5.7109375" style="73" customWidth="1"/>
    <col min="5387" max="5387" width="9.85546875" style="73" customWidth="1"/>
    <col min="5388" max="5388" width="9.7109375" style="73" customWidth="1"/>
    <col min="5389" max="5389" width="8.85546875" style="73" customWidth="1"/>
    <col min="5390" max="5390" width="10" style="73" customWidth="1"/>
    <col min="5391" max="5391" width="8.28515625" style="73" customWidth="1"/>
    <col min="5392" max="5392" width="9.5703125" style="73" customWidth="1"/>
    <col min="5393" max="5393" width="15.5703125" style="73" customWidth="1"/>
    <col min="5394" max="5625" width="9.140625" style="73"/>
    <col min="5626" max="5626" width="6.85546875" style="73" customWidth="1"/>
    <col min="5627" max="5627" width="2.140625" style="73" customWidth="1"/>
    <col min="5628" max="5628" width="6.140625" style="73" customWidth="1"/>
    <col min="5629" max="5629" width="8.85546875" style="73" customWidth="1"/>
    <col min="5630" max="5630" width="28.42578125" style="73" customWidth="1"/>
    <col min="5631" max="5631" width="13.85546875" style="73" customWidth="1"/>
    <col min="5632" max="5632" width="8.42578125" style="73" customWidth="1"/>
    <col min="5633" max="5636" width="0" style="73" hidden="1" customWidth="1"/>
    <col min="5637" max="5637" width="5.28515625" style="73" customWidth="1"/>
    <col min="5638" max="5638" width="5.5703125" style="73" customWidth="1"/>
    <col min="5639" max="5639" width="6" style="73" customWidth="1"/>
    <col min="5640" max="5640" width="5.5703125" style="73" customWidth="1"/>
    <col min="5641" max="5642" width="5.7109375" style="73" customWidth="1"/>
    <col min="5643" max="5643" width="9.85546875" style="73" customWidth="1"/>
    <col min="5644" max="5644" width="9.7109375" style="73" customWidth="1"/>
    <col min="5645" max="5645" width="8.85546875" style="73" customWidth="1"/>
    <col min="5646" max="5646" width="10" style="73" customWidth="1"/>
    <col min="5647" max="5647" width="8.28515625" style="73" customWidth="1"/>
    <col min="5648" max="5648" width="9.5703125" style="73" customWidth="1"/>
    <col min="5649" max="5649" width="15.5703125" style="73" customWidth="1"/>
    <col min="5650" max="5881" width="9.140625" style="73"/>
    <col min="5882" max="5882" width="6.85546875" style="73" customWidth="1"/>
    <col min="5883" max="5883" width="2.140625" style="73" customWidth="1"/>
    <col min="5884" max="5884" width="6.140625" style="73" customWidth="1"/>
    <col min="5885" max="5885" width="8.85546875" style="73" customWidth="1"/>
    <col min="5886" max="5886" width="28.42578125" style="73" customWidth="1"/>
    <col min="5887" max="5887" width="13.85546875" style="73" customWidth="1"/>
    <col min="5888" max="5888" width="8.42578125" style="73" customWidth="1"/>
    <col min="5889" max="5892" width="0" style="73" hidden="1" customWidth="1"/>
    <col min="5893" max="5893" width="5.28515625" style="73" customWidth="1"/>
    <col min="5894" max="5894" width="5.5703125" style="73" customWidth="1"/>
    <col min="5895" max="5895" width="6" style="73" customWidth="1"/>
    <col min="5896" max="5896" width="5.5703125" style="73" customWidth="1"/>
    <col min="5897" max="5898" width="5.7109375" style="73" customWidth="1"/>
    <col min="5899" max="5899" width="9.85546875" style="73" customWidth="1"/>
    <col min="5900" max="5900" width="9.7109375" style="73" customWidth="1"/>
    <col min="5901" max="5901" width="8.85546875" style="73" customWidth="1"/>
    <col min="5902" max="5902" width="10" style="73" customWidth="1"/>
    <col min="5903" max="5903" width="8.28515625" style="73" customWidth="1"/>
    <col min="5904" max="5904" width="9.5703125" style="73" customWidth="1"/>
    <col min="5905" max="5905" width="15.5703125" style="73" customWidth="1"/>
    <col min="5906" max="6137" width="9.140625" style="73"/>
    <col min="6138" max="6138" width="6.85546875" style="73" customWidth="1"/>
    <col min="6139" max="6139" width="2.140625" style="73" customWidth="1"/>
    <col min="6140" max="6140" width="6.140625" style="73" customWidth="1"/>
    <col min="6141" max="6141" width="8.85546875" style="73" customWidth="1"/>
    <col min="6142" max="6142" width="28.42578125" style="73" customWidth="1"/>
    <col min="6143" max="6143" width="13.85546875" style="73" customWidth="1"/>
    <col min="6144" max="6144" width="8.42578125" style="73" customWidth="1"/>
    <col min="6145" max="6148" width="0" style="73" hidden="1" customWidth="1"/>
    <col min="6149" max="6149" width="5.28515625" style="73" customWidth="1"/>
    <col min="6150" max="6150" width="5.5703125" style="73" customWidth="1"/>
    <col min="6151" max="6151" width="6" style="73" customWidth="1"/>
    <col min="6152" max="6152" width="5.5703125" style="73" customWidth="1"/>
    <col min="6153" max="6154" width="5.7109375" style="73" customWidth="1"/>
    <col min="6155" max="6155" width="9.85546875" style="73" customWidth="1"/>
    <col min="6156" max="6156" width="9.7109375" style="73" customWidth="1"/>
    <col min="6157" max="6157" width="8.85546875" style="73" customWidth="1"/>
    <col min="6158" max="6158" width="10" style="73" customWidth="1"/>
    <col min="6159" max="6159" width="8.28515625" style="73" customWidth="1"/>
    <col min="6160" max="6160" width="9.5703125" style="73" customWidth="1"/>
    <col min="6161" max="6161" width="15.5703125" style="73" customWidth="1"/>
    <col min="6162" max="6393" width="9.140625" style="73"/>
    <col min="6394" max="6394" width="6.85546875" style="73" customWidth="1"/>
    <col min="6395" max="6395" width="2.140625" style="73" customWidth="1"/>
    <col min="6396" max="6396" width="6.140625" style="73" customWidth="1"/>
    <col min="6397" max="6397" width="8.85546875" style="73" customWidth="1"/>
    <col min="6398" max="6398" width="28.42578125" style="73" customWidth="1"/>
    <col min="6399" max="6399" width="13.85546875" style="73" customWidth="1"/>
    <col min="6400" max="6400" width="8.42578125" style="73" customWidth="1"/>
    <col min="6401" max="6404" width="0" style="73" hidden="1" customWidth="1"/>
    <col min="6405" max="6405" width="5.28515625" style="73" customWidth="1"/>
    <col min="6406" max="6406" width="5.5703125" style="73" customWidth="1"/>
    <col min="6407" max="6407" width="6" style="73" customWidth="1"/>
    <col min="6408" max="6408" width="5.5703125" style="73" customWidth="1"/>
    <col min="6409" max="6410" width="5.7109375" style="73" customWidth="1"/>
    <col min="6411" max="6411" width="9.85546875" style="73" customWidth="1"/>
    <col min="6412" max="6412" width="9.7109375" style="73" customWidth="1"/>
    <col min="6413" max="6413" width="8.85546875" style="73" customWidth="1"/>
    <col min="6414" max="6414" width="10" style="73" customWidth="1"/>
    <col min="6415" max="6415" width="8.28515625" style="73" customWidth="1"/>
    <col min="6416" max="6416" width="9.5703125" style="73" customWidth="1"/>
    <col min="6417" max="6417" width="15.5703125" style="73" customWidth="1"/>
    <col min="6418" max="6649" width="9.140625" style="73"/>
    <col min="6650" max="6650" width="6.85546875" style="73" customWidth="1"/>
    <col min="6651" max="6651" width="2.140625" style="73" customWidth="1"/>
    <col min="6652" max="6652" width="6.140625" style="73" customWidth="1"/>
    <col min="6653" max="6653" width="8.85546875" style="73" customWidth="1"/>
    <col min="6654" max="6654" width="28.42578125" style="73" customWidth="1"/>
    <col min="6655" max="6655" width="13.85546875" style="73" customWidth="1"/>
    <col min="6656" max="6656" width="8.42578125" style="73" customWidth="1"/>
    <col min="6657" max="6660" width="0" style="73" hidden="1" customWidth="1"/>
    <col min="6661" max="6661" width="5.28515625" style="73" customWidth="1"/>
    <col min="6662" max="6662" width="5.5703125" style="73" customWidth="1"/>
    <col min="6663" max="6663" width="6" style="73" customWidth="1"/>
    <col min="6664" max="6664" width="5.5703125" style="73" customWidth="1"/>
    <col min="6665" max="6666" width="5.7109375" style="73" customWidth="1"/>
    <col min="6667" max="6667" width="9.85546875" style="73" customWidth="1"/>
    <col min="6668" max="6668" width="9.7109375" style="73" customWidth="1"/>
    <col min="6669" max="6669" width="8.85546875" style="73" customWidth="1"/>
    <col min="6670" max="6670" width="10" style="73" customWidth="1"/>
    <col min="6671" max="6671" width="8.28515625" style="73" customWidth="1"/>
    <col min="6672" max="6672" width="9.5703125" style="73" customWidth="1"/>
    <col min="6673" max="6673" width="15.5703125" style="73" customWidth="1"/>
    <col min="6674" max="6905" width="9.140625" style="73"/>
    <col min="6906" max="6906" width="6.85546875" style="73" customWidth="1"/>
    <col min="6907" max="6907" width="2.140625" style="73" customWidth="1"/>
    <col min="6908" max="6908" width="6.140625" style="73" customWidth="1"/>
    <col min="6909" max="6909" width="8.85546875" style="73" customWidth="1"/>
    <col min="6910" max="6910" width="28.42578125" style="73" customWidth="1"/>
    <col min="6911" max="6911" width="13.85546875" style="73" customWidth="1"/>
    <col min="6912" max="6912" width="8.42578125" style="73" customWidth="1"/>
    <col min="6913" max="6916" width="0" style="73" hidden="1" customWidth="1"/>
    <col min="6917" max="6917" width="5.28515625" style="73" customWidth="1"/>
    <col min="6918" max="6918" width="5.5703125" style="73" customWidth="1"/>
    <col min="6919" max="6919" width="6" style="73" customWidth="1"/>
    <col min="6920" max="6920" width="5.5703125" style="73" customWidth="1"/>
    <col min="6921" max="6922" width="5.7109375" style="73" customWidth="1"/>
    <col min="6923" max="6923" width="9.85546875" style="73" customWidth="1"/>
    <col min="6924" max="6924" width="9.7109375" style="73" customWidth="1"/>
    <col min="6925" max="6925" width="8.85546875" style="73" customWidth="1"/>
    <col min="6926" max="6926" width="10" style="73" customWidth="1"/>
    <col min="6927" max="6927" width="8.28515625" style="73" customWidth="1"/>
    <col min="6928" max="6928" width="9.5703125" style="73" customWidth="1"/>
    <col min="6929" max="6929" width="15.5703125" style="73" customWidth="1"/>
    <col min="6930" max="7161" width="9.140625" style="73"/>
    <col min="7162" max="7162" width="6.85546875" style="73" customWidth="1"/>
    <col min="7163" max="7163" width="2.140625" style="73" customWidth="1"/>
    <col min="7164" max="7164" width="6.140625" style="73" customWidth="1"/>
    <col min="7165" max="7165" width="8.85546875" style="73" customWidth="1"/>
    <col min="7166" max="7166" width="28.42578125" style="73" customWidth="1"/>
    <col min="7167" max="7167" width="13.85546875" style="73" customWidth="1"/>
    <col min="7168" max="7168" width="8.42578125" style="73" customWidth="1"/>
    <col min="7169" max="7172" width="0" style="73" hidden="1" customWidth="1"/>
    <col min="7173" max="7173" width="5.28515625" style="73" customWidth="1"/>
    <col min="7174" max="7174" width="5.5703125" style="73" customWidth="1"/>
    <col min="7175" max="7175" width="6" style="73" customWidth="1"/>
    <col min="7176" max="7176" width="5.5703125" style="73" customWidth="1"/>
    <col min="7177" max="7178" width="5.7109375" style="73" customWidth="1"/>
    <col min="7179" max="7179" width="9.85546875" style="73" customWidth="1"/>
    <col min="7180" max="7180" width="9.7109375" style="73" customWidth="1"/>
    <col min="7181" max="7181" width="8.85546875" style="73" customWidth="1"/>
    <col min="7182" max="7182" width="10" style="73" customWidth="1"/>
    <col min="7183" max="7183" width="8.28515625" style="73" customWidth="1"/>
    <col min="7184" max="7184" width="9.5703125" style="73" customWidth="1"/>
    <col min="7185" max="7185" width="15.5703125" style="73" customWidth="1"/>
    <col min="7186" max="7417" width="9.140625" style="73"/>
    <col min="7418" max="7418" width="6.85546875" style="73" customWidth="1"/>
    <col min="7419" max="7419" width="2.140625" style="73" customWidth="1"/>
    <col min="7420" max="7420" width="6.140625" style="73" customWidth="1"/>
    <col min="7421" max="7421" width="8.85546875" style="73" customWidth="1"/>
    <col min="7422" max="7422" width="28.42578125" style="73" customWidth="1"/>
    <col min="7423" max="7423" width="13.85546875" style="73" customWidth="1"/>
    <col min="7424" max="7424" width="8.42578125" style="73" customWidth="1"/>
    <col min="7425" max="7428" width="0" style="73" hidden="1" customWidth="1"/>
    <col min="7429" max="7429" width="5.28515625" style="73" customWidth="1"/>
    <col min="7430" max="7430" width="5.5703125" style="73" customWidth="1"/>
    <col min="7431" max="7431" width="6" style="73" customWidth="1"/>
    <col min="7432" max="7432" width="5.5703125" style="73" customWidth="1"/>
    <col min="7433" max="7434" width="5.7109375" style="73" customWidth="1"/>
    <col min="7435" max="7435" width="9.85546875" style="73" customWidth="1"/>
    <col min="7436" max="7436" width="9.7109375" style="73" customWidth="1"/>
    <col min="7437" max="7437" width="8.85546875" style="73" customWidth="1"/>
    <col min="7438" max="7438" width="10" style="73" customWidth="1"/>
    <col min="7439" max="7439" width="8.28515625" style="73" customWidth="1"/>
    <col min="7440" max="7440" width="9.5703125" style="73" customWidth="1"/>
    <col min="7441" max="7441" width="15.5703125" style="73" customWidth="1"/>
    <col min="7442" max="7673" width="9.140625" style="73"/>
    <col min="7674" max="7674" width="6.85546875" style="73" customWidth="1"/>
    <col min="7675" max="7675" width="2.140625" style="73" customWidth="1"/>
    <col min="7676" max="7676" width="6.140625" style="73" customWidth="1"/>
    <col min="7677" max="7677" width="8.85546875" style="73" customWidth="1"/>
    <col min="7678" max="7678" width="28.42578125" style="73" customWidth="1"/>
    <col min="7679" max="7679" width="13.85546875" style="73" customWidth="1"/>
    <col min="7680" max="7680" width="8.42578125" style="73" customWidth="1"/>
    <col min="7681" max="7684" width="0" style="73" hidden="1" customWidth="1"/>
    <col min="7685" max="7685" width="5.28515625" style="73" customWidth="1"/>
    <col min="7686" max="7686" width="5.5703125" style="73" customWidth="1"/>
    <col min="7687" max="7687" width="6" style="73" customWidth="1"/>
    <col min="7688" max="7688" width="5.5703125" style="73" customWidth="1"/>
    <col min="7689" max="7690" width="5.7109375" style="73" customWidth="1"/>
    <col min="7691" max="7691" width="9.85546875" style="73" customWidth="1"/>
    <col min="7692" max="7692" width="9.7109375" style="73" customWidth="1"/>
    <col min="7693" max="7693" width="8.85546875" style="73" customWidth="1"/>
    <col min="7694" max="7694" width="10" style="73" customWidth="1"/>
    <col min="7695" max="7695" width="8.28515625" style="73" customWidth="1"/>
    <col min="7696" max="7696" width="9.5703125" style="73" customWidth="1"/>
    <col min="7697" max="7697" width="15.5703125" style="73" customWidth="1"/>
    <col min="7698" max="7929" width="9.140625" style="73"/>
    <col min="7930" max="7930" width="6.85546875" style="73" customWidth="1"/>
    <col min="7931" max="7931" width="2.140625" style="73" customWidth="1"/>
    <col min="7932" max="7932" width="6.140625" style="73" customWidth="1"/>
    <col min="7933" max="7933" width="8.85546875" style="73" customWidth="1"/>
    <col min="7934" max="7934" width="28.42578125" style="73" customWidth="1"/>
    <col min="7935" max="7935" width="13.85546875" style="73" customWidth="1"/>
    <col min="7936" max="7936" width="8.42578125" style="73" customWidth="1"/>
    <col min="7937" max="7940" width="0" style="73" hidden="1" customWidth="1"/>
    <col min="7941" max="7941" width="5.28515625" style="73" customWidth="1"/>
    <col min="7942" max="7942" width="5.5703125" style="73" customWidth="1"/>
    <col min="7943" max="7943" width="6" style="73" customWidth="1"/>
    <col min="7944" max="7944" width="5.5703125" style="73" customWidth="1"/>
    <col min="7945" max="7946" width="5.7109375" style="73" customWidth="1"/>
    <col min="7947" max="7947" width="9.85546875" style="73" customWidth="1"/>
    <col min="7948" max="7948" width="9.7109375" style="73" customWidth="1"/>
    <col min="7949" max="7949" width="8.85546875" style="73" customWidth="1"/>
    <col min="7950" max="7950" width="10" style="73" customWidth="1"/>
    <col min="7951" max="7951" width="8.28515625" style="73" customWidth="1"/>
    <col min="7952" max="7952" width="9.5703125" style="73" customWidth="1"/>
    <col min="7953" max="7953" width="15.5703125" style="73" customWidth="1"/>
    <col min="7954" max="8185" width="9.140625" style="73"/>
    <col min="8186" max="8186" width="6.85546875" style="73" customWidth="1"/>
    <col min="8187" max="8187" width="2.140625" style="73" customWidth="1"/>
    <col min="8188" max="8188" width="6.140625" style="73" customWidth="1"/>
    <col min="8189" max="8189" width="8.85546875" style="73" customWidth="1"/>
    <col min="8190" max="8190" width="28.42578125" style="73" customWidth="1"/>
    <col min="8191" max="8191" width="13.85546875" style="73" customWidth="1"/>
    <col min="8192" max="8192" width="8.42578125" style="73" customWidth="1"/>
    <col min="8193" max="8196" width="0" style="73" hidden="1" customWidth="1"/>
    <col min="8197" max="8197" width="5.28515625" style="73" customWidth="1"/>
    <col min="8198" max="8198" width="5.5703125" style="73" customWidth="1"/>
    <col min="8199" max="8199" width="6" style="73" customWidth="1"/>
    <col min="8200" max="8200" width="5.5703125" style="73" customWidth="1"/>
    <col min="8201" max="8202" width="5.7109375" style="73" customWidth="1"/>
    <col min="8203" max="8203" width="9.85546875" style="73" customWidth="1"/>
    <col min="8204" max="8204" width="9.7109375" style="73" customWidth="1"/>
    <col min="8205" max="8205" width="8.85546875" style="73" customWidth="1"/>
    <col min="8206" max="8206" width="10" style="73" customWidth="1"/>
    <col min="8207" max="8207" width="8.28515625" style="73" customWidth="1"/>
    <col min="8208" max="8208" width="9.5703125" style="73" customWidth="1"/>
    <col min="8209" max="8209" width="15.5703125" style="73" customWidth="1"/>
    <col min="8210" max="8441" width="9.140625" style="73"/>
    <col min="8442" max="8442" width="6.85546875" style="73" customWidth="1"/>
    <col min="8443" max="8443" width="2.140625" style="73" customWidth="1"/>
    <col min="8444" max="8444" width="6.140625" style="73" customWidth="1"/>
    <col min="8445" max="8445" width="8.85546875" style="73" customWidth="1"/>
    <col min="8446" max="8446" width="28.42578125" style="73" customWidth="1"/>
    <col min="8447" max="8447" width="13.85546875" style="73" customWidth="1"/>
    <col min="8448" max="8448" width="8.42578125" style="73" customWidth="1"/>
    <col min="8449" max="8452" width="0" style="73" hidden="1" customWidth="1"/>
    <col min="8453" max="8453" width="5.28515625" style="73" customWidth="1"/>
    <col min="8454" max="8454" width="5.5703125" style="73" customWidth="1"/>
    <col min="8455" max="8455" width="6" style="73" customWidth="1"/>
    <col min="8456" max="8456" width="5.5703125" style="73" customWidth="1"/>
    <col min="8457" max="8458" width="5.7109375" style="73" customWidth="1"/>
    <col min="8459" max="8459" width="9.85546875" style="73" customWidth="1"/>
    <col min="8460" max="8460" width="9.7109375" style="73" customWidth="1"/>
    <col min="8461" max="8461" width="8.85546875" style="73" customWidth="1"/>
    <col min="8462" max="8462" width="10" style="73" customWidth="1"/>
    <col min="8463" max="8463" width="8.28515625" style="73" customWidth="1"/>
    <col min="8464" max="8464" width="9.5703125" style="73" customWidth="1"/>
    <col min="8465" max="8465" width="15.5703125" style="73" customWidth="1"/>
    <col min="8466" max="8697" width="9.140625" style="73"/>
    <col min="8698" max="8698" width="6.85546875" style="73" customWidth="1"/>
    <col min="8699" max="8699" width="2.140625" style="73" customWidth="1"/>
    <col min="8700" max="8700" width="6.140625" style="73" customWidth="1"/>
    <col min="8701" max="8701" width="8.85546875" style="73" customWidth="1"/>
    <col min="8702" max="8702" width="28.42578125" style="73" customWidth="1"/>
    <col min="8703" max="8703" width="13.85546875" style="73" customWidth="1"/>
    <col min="8704" max="8704" width="8.42578125" style="73" customWidth="1"/>
    <col min="8705" max="8708" width="0" style="73" hidden="1" customWidth="1"/>
    <col min="8709" max="8709" width="5.28515625" style="73" customWidth="1"/>
    <col min="8710" max="8710" width="5.5703125" style="73" customWidth="1"/>
    <col min="8711" max="8711" width="6" style="73" customWidth="1"/>
    <col min="8712" max="8712" width="5.5703125" style="73" customWidth="1"/>
    <col min="8713" max="8714" width="5.7109375" style="73" customWidth="1"/>
    <col min="8715" max="8715" width="9.85546875" style="73" customWidth="1"/>
    <col min="8716" max="8716" width="9.7109375" style="73" customWidth="1"/>
    <col min="8717" max="8717" width="8.85546875" style="73" customWidth="1"/>
    <col min="8718" max="8718" width="10" style="73" customWidth="1"/>
    <col min="8719" max="8719" width="8.28515625" style="73" customWidth="1"/>
    <col min="8720" max="8720" width="9.5703125" style="73" customWidth="1"/>
    <col min="8721" max="8721" width="15.5703125" style="73" customWidth="1"/>
    <col min="8722" max="8953" width="9.140625" style="73"/>
    <col min="8954" max="8954" width="6.85546875" style="73" customWidth="1"/>
    <col min="8955" max="8955" width="2.140625" style="73" customWidth="1"/>
    <col min="8956" max="8956" width="6.140625" style="73" customWidth="1"/>
    <col min="8957" max="8957" width="8.85546875" style="73" customWidth="1"/>
    <col min="8958" max="8958" width="28.42578125" style="73" customWidth="1"/>
    <col min="8959" max="8959" width="13.85546875" style="73" customWidth="1"/>
    <col min="8960" max="8960" width="8.42578125" style="73" customWidth="1"/>
    <col min="8961" max="8964" width="0" style="73" hidden="1" customWidth="1"/>
    <col min="8965" max="8965" width="5.28515625" style="73" customWidth="1"/>
    <col min="8966" max="8966" width="5.5703125" style="73" customWidth="1"/>
    <col min="8967" max="8967" width="6" style="73" customWidth="1"/>
    <col min="8968" max="8968" width="5.5703125" style="73" customWidth="1"/>
    <col min="8969" max="8970" width="5.7109375" style="73" customWidth="1"/>
    <col min="8971" max="8971" width="9.85546875" style="73" customWidth="1"/>
    <col min="8972" max="8972" width="9.7109375" style="73" customWidth="1"/>
    <col min="8973" max="8973" width="8.85546875" style="73" customWidth="1"/>
    <col min="8974" max="8974" width="10" style="73" customWidth="1"/>
    <col min="8975" max="8975" width="8.28515625" style="73" customWidth="1"/>
    <col min="8976" max="8976" width="9.5703125" style="73" customWidth="1"/>
    <col min="8977" max="8977" width="15.5703125" style="73" customWidth="1"/>
    <col min="8978" max="9209" width="9.140625" style="73"/>
    <col min="9210" max="9210" width="6.85546875" style="73" customWidth="1"/>
    <col min="9211" max="9211" width="2.140625" style="73" customWidth="1"/>
    <col min="9212" max="9212" width="6.140625" style="73" customWidth="1"/>
    <col min="9213" max="9213" width="8.85546875" style="73" customWidth="1"/>
    <col min="9214" max="9214" width="28.42578125" style="73" customWidth="1"/>
    <col min="9215" max="9215" width="13.85546875" style="73" customWidth="1"/>
    <col min="9216" max="9216" width="8.42578125" style="73" customWidth="1"/>
    <col min="9217" max="9220" width="0" style="73" hidden="1" customWidth="1"/>
    <col min="9221" max="9221" width="5.28515625" style="73" customWidth="1"/>
    <col min="9222" max="9222" width="5.5703125" style="73" customWidth="1"/>
    <col min="9223" max="9223" width="6" style="73" customWidth="1"/>
    <col min="9224" max="9224" width="5.5703125" style="73" customWidth="1"/>
    <col min="9225" max="9226" width="5.7109375" style="73" customWidth="1"/>
    <col min="9227" max="9227" width="9.85546875" style="73" customWidth="1"/>
    <col min="9228" max="9228" width="9.7109375" style="73" customWidth="1"/>
    <col min="9229" max="9229" width="8.85546875" style="73" customWidth="1"/>
    <col min="9230" max="9230" width="10" style="73" customWidth="1"/>
    <col min="9231" max="9231" width="8.28515625" style="73" customWidth="1"/>
    <col min="9232" max="9232" width="9.5703125" style="73" customWidth="1"/>
    <col min="9233" max="9233" width="15.5703125" style="73" customWidth="1"/>
    <col min="9234" max="9465" width="9.140625" style="73"/>
    <col min="9466" max="9466" width="6.85546875" style="73" customWidth="1"/>
    <col min="9467" max="9467" width="2.140625" style="73" customWidth="1"/>
    <col min="9468" max="9468" width="6.140625" style="73" customWidth="1"/>
    <col min="9469" max="9469" width="8.85546875" style="73" customWidth="1"/>
    <col min="9470" max="9470" width="28.42578125" style="73" customWidth="1"/>
    <col min="9471" max="9471" width="13.85546875" style="73" customWidth="1"/>
    <col min="9472" max="9472" width="8.42578125" style="73" customWidth="1"/>
    <col min="9473" max="9476" width="0" style="73" hidden="1" customWidth="1"/>
    <col min="9477" max="9477" width="5.28515625" style="73" customWidth="1"/>
    <col min="9478" max="9478" width="5.5703125" style="73" customWidth="1"/>
    <col min="9479" max="9479" width="6" style="73" customWidth="1"/>
    <col min="9480" max="9480" width="5.5703125" style="73" customWidth="1"/>
    <col min="9481" max="9482" width="5.7109375" style="73" customWidth="1"/>
    <col min="9483" max="9483" width="9.85546875" style="73" customWidth="1"/>
    <col min="9484" max="9484" width="9.7109375" style="73" customWidth="1"/>
    <col min="9485" max="9485" width="8.85546875" style="73" customWidth="1"/>
    <col min="9486" max="9486" width="10" style="73" customWidth="1"/>
    <col min="9487" max="9487" width="8.28515625" style="73" customWidth="1"/>
    <col min="9488" max="9488" width="9.5703125" style="73" customWidth="1"/>
    <col min="9489" max="9489" width="15.5703125" style="73" customWidth="1"/>
    <col min="9490" max="9721" width="9.140625" style="73"/>
    <col min="9722" max="9722" width="6.85546875" style="73" customWidth="1"/>
    <col min="9723" max="9723" width="2.140625" style="73" customWidth="1"/>
    <col min="9724" max="9724" width="6.140625" style="73" customWidth="1"/>
    <col min="9725" max="9725" width="8.85546875" style="73" customWidth="1"/>
    <col min="9726" max="9726" width="28.42578125" style="73" customWidth="1"/>
    <col min="9727" max="9727" width="13.85546875" style="73" customWidth="1"/>
    <col min="9728" max="9728" width="8.42578125" style="73" customWidth="1"/>
    <col min="9729" max="9732" width="0" style="73" hidden="1" customWidth="1"/>
    <col min="9733" max="9733" width="5.28515625" style="73" customWidth="1"/>
    <col min="9734" max="9734" width="5.5703125" style="73" customWidth="1"/>
    <col min="9735" max="9735" width="6" style="73" customWidth="1"/>
    <col min="9736" max="9736" width="5.5703125" style="73" customWidth="1"/>
    <col min="9737" max="9738" width="5.7109375" style="73" customWidth="1"/>
    <col min="9739" max="9739" width="9.85546875" style="73" customWidth="1"/>
    <col min="9740" max="9740" width="9.7109375" style="73" customWidth="1"/>
    <col min="9741" max="9741" width="8.85546875" style="73" customWidth="1"/>
    <col min="9742" max="9742" width="10" style="73" customWidth="1"/>
    <col min="9743" max="9743" width="8.28515625" style="73" customWidth="1"/>
    <col min="9744" max="9744" width="9.5703125" style="73" customWidth="1"/>
    <col min="9745" max="9745" width="15.5703125" style="73" customWidth="1"/>
    <col min="9746" max="9977" width="9.140625" style="73"/>
    <col min="9978" max="9978" width="6.85546875" style="73" customWidth="1"/>
    <col min="9979" max="9979" width="2.140625" style="73" customWidth="1"/>
    <col min="9980" max="9980" width="6.140625" style="73" customWidth="1"/>
    <col min="9981" max="9981" width="8.85546875" style="73" customWidth="1"/>
    <col min="9982" max="9982" width="28.42578125" style="73" customWidth="1"/>
    <col min="9983" max="9983" width="13.85546875" style="73" customWidth="1"/>
    <col min="9984" max="9984" width="8.42578125" style="73" customWidth="1"/>
    <col min="9985" max="9988" width="0" style="73" hidden="1" customWidth="1"/>
    <col min="9989" max="9989" width="5.28515625" style="73" customWidth="1"/>
    <col min="9990" max="9990" width="5.5703125" style="73" customWidth="1"/>
    <col min="9991" max="9991" width="6" style="73" customWidth="1"/>
    <col min="9992" max="9992" width="5.5703125" style="73" customWidth="1"/>
    <col min="9993" max="9994" width="5.7109375" style="73" customWidth="1"/>
    <col min="9995" max="9995" width="9.85546875" style="73" customWidth="1"/>
    <col min="9996" max="9996" width="9.7109375" style="73" customWidth="1"/>
    <col min="9997" max="9997" width="8.85546875" style="73" customWidth="1"/>
    <col min="9998" max="9998" width="10" style="73" customWidth="1"/>
    <col min="9999" max="9999" width="8.28515625" style="73" customWidth="1"/>
    <col min="10000" max="10000" width="9.5703125" style="73" customWidth="1"/>
    <col min="10001" max="10001" width="15.5703125" style="73" customWidth="1"/>
    <col min="10002" max="10233" width="9.140625" style="73"/>
    <col min="10234" max="10234" width="6.85546875" style="73" customWidth="1"/>
    <col min="10235" max="10235" width="2.140625" style="73" customWidth="1"/>
    <col min="10236" max="10236" width="6.140625" style="73" customWidth="1"/>
    <col min="10237" max="10237" width="8.85546875" style="73" customWidth="1"/>
    <col min="10238" max="10238" width="28.42578125" style="73" customWidth="1"/>
    <col min="10239" max="10239" width="13.85546875" style="73" customWidth="1"/>
    <col min="10240" max="10240" width="8.42578125" style="73" customWidth="1"/>
    <col min="10241" max="10244" width="0" style="73" hidden="1" customWidth="1"/>
    <col min="10245" max="10245" width="5.28515625" style="73" customWidth="1"/>
    <col min="10246" max="10246" width="5.5703125" style="73" customWidth="1"/>
    <col min="10247" max="10247" width="6" style="73" customWidth="1"/>
    <col min="10248" max="10248" width="5.5703125" style="73" customWidth="1"/>
    <col min="10249" max="10250" width="5.7109375" style="73" customWidth="1"/>
    <col min="10251" max="10251" width="9.85546875" style="73" customWidth="1"/>
    <col min="10252" max="10252" width="9.7109375" style="73" customWidth="1"/>
    <col min="10253" max="10253" width="8.85546875" style="73" customWidth="1"/>
    <col min="10254" max="10254" width="10" style="73" customWidth="1"/>
    <col min="10255" max="10255" width="8.28515625" style="73" customWidth="1"/>
    <col min="10256" max="10256" width="9.5703125" style="73" customWidth="1"/>
    <col min="10257" max="10257" width="15.5703125" style="73" customWidth="1"/>
    <col min="10258" max="10489" width="9.140625" style="73"/>
    <col min="10490" max="10490" width="6.85546875" style="73" customWidth="1"/>
    <col min="10491" max="10491" width="2.140625" style="73" customWidth="1"/>
    <col min="10492" max="10492" width="6.140625" style="73" customWidth="1"/>
    <col min="10493" max="10493" width="8.85546875" style="73" customWidth="1"/>
    <col min="10494" max="10494" width="28.42578125" style="73" customWidth="1"/>
    <col min="10495" max="10495" width="13.85546875" style="73" customWidth="1"/>
    <col min="10496" max="10496" width="8.42578125" style="73" customWidth="1"/>
    <col min="10497" max="10500" width="0" style="73" hidden="1" customWidth="1"/>
    <col min="10501" max="10501" width="5.28515625" style="73" customWidth="1"/>
    <col min="10502" max="10502" width="5.5703125" style="73" customWidth="1"/>
    <col min="10503" max="10503" width="6" style="73" customWidth="1"/>
    <col min="10504" max="10504" width="5.5703125" style="73" customWidth="1"/>
    <col min="10505" max="10506" width="5.7109375" style="73" customWidth="1"/>
    <col min="10507" max="10507" width="9.85546875" style="73" customWidth="1"/>
    <col min="10508" max="10508" width="9.7109375" style="73" customWidth="1"/>
    <col min="10509" max="10509" width="8.85546875" style="73" customWidth="1"/>
    <col min="10510" max="10510" width="10" style="73" customWidth="1"/>
    <col min="10511" max="10511" width="8.28515625" style="73" customWidth="1"/>
    <col min="10512" max="10512" width="9.5703125" style="73" customWidth="1"/>
    <col min="10513" max="10513" width="15.5703125" style="73" customWidth="1"/>
    <col min="10514" max="10745" width="9.140625" style="73"/>
    <col min="10746" max="10746" width="6.85546875" style="73" customWidth="1"/>
    <col min="10747" max="10747" width="2.140625" style="73" customWidth="1"/>
    <col min="10748" max="10748" width="6.140625" style="73" customWidth="1"/>
    <col min="10749" max="10749" width="8.85546875" style="73" customWidth="1"/>
    <col min="10750" max="10750" width="28.42578125" style="73" customWidth="1"/>
    <col min="10751" max="10751" width="13.85546875" style="73" customWidth="1"/>
    <col min="10752" max="10752" width="8.42578125" style="73" customWidth="1"/>
    <col min="10753" max="10756" width="0" style="73" hidden="1" customWidth="1"/>
    <col min="10757" max="10757" width="5.28515625" style="73" customWidth="1"/>
    <col min="10758" max="10758" width="5.5703125" style="73" customWidth="1"/>
    <col min="10759" max="10759" width="6" style="73" customWidth="1"/>
    <col min="10760" max="10760" width="5.5703125" style="73" customWidth="1"/>
    <col min="10761" max="10762" width="5.7109375" style="73" customWidth="1"/>
    <col min="10763" max="10763" width="9.85546875" style="73" customWidth="1"/>
    <col min="10764" max="10764" width="9.7109375" style="73" customWidth="1"/>
    <col min="10765" max="10765" width="8.85546875" style="73" customWidth="1"/>
    <col min="10766" max="10766" width="10" style="73" customWidth="1"/>
    <col min="10767" max="10767" width="8.28515625" style="73" customWidth="1"/>
    <col min="10768" max="10768" width="9.5703125" style="73" customWidth="1"/>
    <col min="10769" max="10769" width="15.5703125" style="73" customWidth="1"/>
    <col min="10770" max="11001" width="9.140625" style="73"/>
    <col min="11002" max="11002" width="6.85546875" style="73" customWidth="1"/>
    <col min="11003" max="11003" width="2.140625" style="73" customWidth="1"/>
    <col min="11004" max="11004" width="6.140625" style="73" customWidth="1"/>
    <col min="11005" max="11005" width="8.85546875" style="73" customWidth="1"/>
    <col min="11006" max="11006" width="28.42578125" style="73" customWidth="1"/>
    <col min="11007" max="11007" width="13.85546875" style="73" customWidth="1"/>
    <col min="11008" max="11008" width="8.42578125" style="73" customWidth="1"/>
    <col min="11009" max="11012" width="0" style="73" hidden="1" customWidth="1"/>
    <col min="11013" max="11013" width="5.28515625" style="73" customWidth="1"/>
    <col min="11014" max="11014" width="5.5703125" style="73" customWidth="1"/>
    <col min="11015" max="11015" width="6" style="73" customWidth="1"/>
    <col min="11016" max="11016" width="5.5703125" style="73" customWidth="1"/>
    <col min="11017" max="11018" width="5.7109375" style="73" customWidth="1"/>
    <col min="11019" max="11019" width="9.85546875" style="73" customWidth="1"/>
    <col min="11020" max="11020" width="9.7109375" style="73" customWidth="1"/>
    <col min="11021" max="11021" width="8.85546875" style="73" customWidth="1"/>
    <col min="11022" max="11022" width="10" style="73" customWidth="1"/>
    <col min="11023" max="11023" width="8.28515625" style="73" customWidth="1"/>
    <col min="11024" max="11024" width="9.5703125" style="73" customWidth="1"/>
    <col min="11025" max="11025" width="15.5703125" style="73" customWidth="1"/>
    <col min="11026" max="11257" width="9.140625" style="73"/>
    <col min="11258" max="11258" width="6.85546875" style="73" customWidth="1"/>
    <col min="11259" max="11259" width="2.140625" style="73" customWidth="1"/>
    <col min="11260" max="11260" width="6.140625" style="73" customWidth="1"/>
    <col min="11261" max="11261" width="8.85546875" style="73" customWidth="1"/>
    <col min="11262" max="11262" width="28.42578125" style="73" customWidth="1"/>
    <col min="11263" max="11263" width="13.85546875" style="73" customWidth="1"/>
    <col min="11264" max="11264" width="8.42578125" style="73" customWidth="1"/>
    <col min="11265" max="11268" width="0" style="73" hidden="1" customWidth="1"/>
    <col min="11269" max="11269" width="5.28515625" style="73" customWidth="1"/>
    <col min="11270" max="11270" width="5.5703125" style="73" customWidth="1"/>
    <col min="11271" max="11271" width="6" style="73" customWidth="1"/>
    <col min="11272" max="11272" width="5.5703125" style="73" customWidth="1"/>
    <col min="11273" max="11274" width="5.7109375" style="73" customWidth="1"/>
    <col min="11275" max="11275" width="9.85546875" style="73" customWidth="1"/>
    <col min="11276" max="11276" width="9.7109375" style="73" customWidth="1"/>
    <col min="11277" max="11277" width="8.85546875" style="73" customWidth="1"/>
    <col min="11278" max="11278" width="10" style="73" customWidth="1"/>
    <col min="11279" max="11279" width="8.28515625" style="73" customWidth="1"/>
    <col min="11280" max="11280" width="9.5703125" style="73" customWidth="1"/>
    <col min="11281" max="11281" width="15.5703125" style="73" customWidth="1"/>
    <col min="11282" max="11513" width="9.140625" style="73"/>
    <col min="11514" max="11514" width="6.85546875" style="73" customWidth="1"/>
    <col min="11515" max="11515" width="2.140625" style="73" customWidth="1"/>
    <col min="11516" max="11516" width="6.140625" style="73" customWidth="1"/>
    <col min="11517" max="11517" width="8.85546875" style="73" customWidth="1"/>
    <col min="11518" max="11518" width="28.42578125" style="73" customWidth="1"/>
    <col min="11519" max="11519" width="13.85546875" style="73" customWidth="1"/>
    <col min="11520" max="11520" width="8.42578125" style="73" customWidth="1"/>
    <col min="11521" max="11524" width="0" style="73" hidden="1" customWidth="1"/>
    <col min="11525" max="11525" width="5.28515625" style="73" customWidth="1"/>
    <col min="11526" max="11526" width="5.5703125" style="73" customWidth="1"/>
    <col min="11527" max="11527" width="6" style="73" customWidth="1"/>
    <col min="11528" max="11528" width="5.5703125" style="73" customWidth="1"/>
    <col min="11529" max="11530" width="5.7109375" style="73" customWidth="1"/>
    <col min="11531" max="11531" width="9.85546875" style="73" customWidth="1"/>
    <col min="11532" max="11532" width="9.7109375" style="73" customWidth="1"/>
    <col min="11533" max="11533" width="8.85546875" style="73" customWidth="1"/>
    <col min="11534" max="11534" width="10" style="73" customWidth="1"/>
    <col min="11535" max="11535" width="8.28515625" style="73" customWidth="1"/>
    <col min="11536" max="11536" width="9.5703125" style="73" customWidth="1"/>
    <col min="11537" max="11537" width="15.5703125" style="73" customWidth="1"/>
    <col min="11538" max="11769" width="9.140625" style="73"/>
    <col min="11770" max="11770" width="6.85546875" style="73" customWidth="1"/>
    <col min="11771" max="11771" width="2.140625" style="73" customWidth="1"/>
    <col min="11772" max="11772" width="6.140625" style="73" customWidth="1"/>
    <col min="11773" max="11773" width="8.85546875" style="73" customWidth="1"/>
    <col min="11774" max="11774" width="28.42578125" style="73" customWidth="1"/>
    <col min="11775" max="11775" width="13.85546875" style="73" customWidth="1"/>
    <col min="11776" max="11776" width="8.42578125" style="73" customWidth="1"/>
    <col min="11777" max="11780" width="0" style="73" hidden="1" customWidth="1"/>
    <col min="11781" max="11781" width="5.28515625" style="73" customWidth="1"/>
    <col min="11782" max="11782" width="5.5703125" style="73" customWidth="1"/>
    <col min="11783" max="11783" width="6" style="73" customWidth="1"/>
    <col min="11784" max="11784" width="5.5703125" style="73" customWidth="1"/>
    <col min="11785" max="11786" width="5.7109375" style="73" customWidth="1"/>
    <col min="11787" max="11787" width="9.85546875" style="73" customWidth="1"/>
    <col min="11788" max="11788" width="9.7109375" style="73" customWidth="1"/>
    <col min="11789" max="11789" width="8.85546875" style="73" customWidth="1"/>
    <col min="11790" max="11790" width="10" style="73" customWidth="1"/>
    <col min="11791" max="11791" width="8.28515625" style="73" customWidth="1"/>
    <col min="11792" max="11792" width="9.5703125" style="73" customWidth="1"/>
    <col min="11793" max="11793" width="15.5703125" style="73" customWidth="1"/>
    <col min="11794" max="12025" width="9.140625" style="73"/>
    <col min="12026" max="12026" width="6.85546875" style="73" customWidth="1"/>
    <col min="12027" max="12027" width="2.140625" style="73" customWidth="1"/>
    <col min="12028" max="12028" width="6.140625" style="73" customWidth="1"/>
    <col min="12029" max="12029" width="8.85546875" style="73" customWidth="1"/>
    <col min="12030" max="12030" width="28.42578125" style="73" customWidth="1"/>
    <col min="12031" max="12031" width="13.85546875" style="73" customWidth="1"/>
    <col min="12032" max="12032" width="8.42578125" style="73" customWidth="1"/>
    <col min="12033" max="12036" width="0" style="73" hidden="1" customWidth="1"/>
    <col min="12037" max="12037" width="5.28515625" style="73" customWidth="1"/>
    <col min="12038" max="12038" width="5.5703125" style="73" customWidth="1"/>
    <col min="12039" max="12039" width="6" style="73" customWidth="1"/>
    <col min="12040" max="12040" width="5.5703125" style="73" customWidth="1"/>
    <col min="12041" max="12042" width="5.7109375" style="73" customWidth="1"/>
    <col min="12043" max="12043" width="9.85546875" style="73" customWidth="1"/>
    <col min="12044" max="12044" width="9.7109375" style="73" customWidth="1"/>
    <col min="12045" max="12045" width="8.85546875" style="73" customWidth="1"/>
    <col min="12046" max="12046" width="10" style="73" customWidth="1"/>
    <col min="12047" max="12047" width="8.28515625" style="73" customWidth="1"/>
    <col min="12048" max="12048" width="9.5703125" style="73" customWidth="1"/>
    <col min="12049" max="12049" width="15.5703125" style="73" customWidth="1"/>
    <col min="12050" max="12281" width="9.140625" style="73"/>
    <col min="12282" max="12282" width="6.85546875" style="73" customWidth="1"/>
    <col min="12283" max="12283" width="2.140625" style="73" customWidth="1"/>
    <col min="12284" max="12284" width="6.140625" style="73" customWidth="1"/>
    <col min="12285" max="12285" width="8.85546875" style="73" customWidth="1"/>
    <col min="12286" max="12286" width="28.42578125" style="73" customWidth="1"/>
    <col min="12287" max="12287" width="13.85546875" style="73" customWidth="1"/>
    <col min="12288" max="12288" width="8.42578125" style="73" customWidth="1"/>
    <col min="12289" max="12292" width="0" style="73" hidden="1" customWidth="1"/>
    <col min="12293" max="12293" width="5.28515625" style="73" customWidth="1"/>
    <col min="12294" max="12294" width="5.5703125" style="73" customWidth="1"/>
    <col min="12295" max="12295" width="6" style="73" customWidth="1"/>
    <col min="12296" max="12296" width="5.5703125" style="73" customWidth="1"/>
    <col min="12297" max="12298" width="5.7109375" style="73" customWidth="1"/>
    <col min="12299" max="12299" width="9.85546875" style="73" customWidth="1"/>
    <col min="12300" max="12300" width="9.7109375" style="73" customWidth="1"/>
    <col min="12301" max="12301" width="8.85546875" style="73" customWidth="1"/>
    <col min="12302" max="12302" width="10" style="73" customWidth="1"/>
    <col min="12303" max="12303" width="8.28515625" style="73" customWidth="1"/>
    <col min="12304" max="12304" width="9.5703125" style="73" customWidth="1"/>
    <col min="12305" max="12305" width="15.5703125" style="73" customWidth="1"/>
    <col min="12306" max="12537" width="9.140625" style="73"/>
    <col min="12538" max="12538" width="6.85546875" style="73" customWidth="1"/>
    <col min="12539" max="12539" width="2.140625" style="73" customWidth="1"/>
    <col min="12540" max="12540" width="6.140625" style="73" customWidth="1"/>
    <col min="12541" max="12541" width="8.85546875" style="73" customWidth="1"/>
    <col min="12542" max="12542" width="28.42578125" style="73" customWidth="1"/>
    <col min="12543" max="12543" width="13.85546875" style="73" customWidth="1"/>
    <col min="12544" max="12544" width="8.42578125" style="73" customWidth="1"/>
    <col min="12545" max="12548" width="0" style="73" hidden="1" customWidth="1"/>
    <col min="12549" max="12549" width="5.28515625" style="73" customWidth="1"/>
    <col min="12550" max="12550" width="5.5703125" style="73" customWidth="1"/>
    <col min="12551" max="12551" width="6" style="73" customWidth="1"/>
    <col min="12552" max="12552" width="5.5703125" style="73" customWidth="1"/>
    <col min="12553" max="12554" width="5.7109375" style="73" customWidth="1"/>
    <col min="12555" max="12555" width="9.85546875" style="73" customWidth="1"/>
    <col min="12556" max="12556" width="9.7109375" style="73" customWidth="1"/>
    <col min="12557" max="12557" width="8.85546875" style="73" customWidth="1"/>
    <col min="12558" max="12558" width="10" style="73" customWidth="1"/>
    <col min="12559" max="12559" width="8.28515625" style="73" customWidth="1"/>
    <col min="12560" max="12560" width="9.5703125" style="73" customWidth="1"/>
    <col min="12561" max="12561" width="15.5703125" style="73" customWidth="1"/>
    <col min="12562" max="12793" width="9.140625" style="73"/>
    <col min="12794" max="12794" width="6.85546875" style="73" customWidth="1"/>
    <col min="12795" max="12795" width="2.140625" style="73" customWidth="1"/>
    <col min="12796" max="12796" width="6.140625" style="73" customWidth="1"/>
    <col min="12797" max="12797" width="8.85546875" style="73" customWidth="1"/>
    <col min="12798" max="12798" width="28.42578125" style="73" customWidth="1"/>
    <col min="12799" max="12799" width="13.85546875" style="73" customWidth="1"/>
    <col min="12800" max="12800" width="8.42578125" style="73" customWidth="1"/>
    <col min="12801" max="12804" width="0" style="73" hidden="1" customWidth="1"/>
    <col min="12805" max="12805" width="5.28515625" style="73" customWidth="1"/>
    <col min="12806" max="12806" width="5.5703125" style="73" customWidth="1"/>
    <col min="12807" max="12807" width="6" style="73" customWidth="1"/>
    <col min="12808" max="12808" width="5.5703125" style="73" customWidth="1"/>
    <col min="12809" max="12810" width="5.7109375" style="73" customWidth="1"/>
    <col min="12811" max="12811" width="9.85546875" style="73" customWidth="1"/>
    <col min="12812" max="12812" width="9.7109375" style="73" customWidth="1"/>
    <col min="12813" max="12813" width="8.85546875" style="73" customWidth="1"/>
    <col min="12814" max="12814" width="10" style="73" customWidth="1"/>
    <col min="12815" max="12815" width="8.28515625" style="73" customWidth="1"/>
    <col min="12816" max="12816" width="9.5703125" style="73" customWidth="1"/>
    <col min="12817" max="12817" width="15.5703125" style="73" customWidth="1"/>
    <col min="12818" max="13049" width="9.140625" style="73"/>
    <col min="13050" max="13050" width="6.85546875" style="73" customWidth="1"/>
    <col min="13051" max="13051" width="2.140625" style="73" customWidth="1"/>
    <col min="13052" max="13052" width="6.140625" style="73" customWidth="1"/>
    <col min="13053" max="13053" width="8.85546875" style="73" customWidth="1"/>
    <col min="13054" max="13054" width="28.42578125" style="73" customWidth="1"/>
    <col min="13055" max="13055" width="13.85546875" style="73" customWidth="1"/>
    <col min="13056" max="13056" width="8.42578125" style="73" customWidth="1"/>
    <col min="13057" max="13060" width="0" style="73" hidden="1" customWidth="1"/>
    <col min="13061" max="13061" width="5.28515625" style="73" customWidth="1"/>
    <col min="13062" max="13062" width="5.5703125" style="73" customWidth="1"/>
    <col min="13063" max="13063" width="6" style="73" customWidth="1"/>
    <col min="13064" max="13064" width="5.5703125" style="73" customWidth="1"/>
    <col min="13065" max="13066" width="5.7109375" style="73" customWidth="1"/>
    <col min="13067" max="13067" width="9.85546875" style="73" customWidth="1"/>
    <col min="13068" max="13068" width="9.7109375" style="73" customWidth="1"/>
    <col min="13069" max="13069" width="8.85546875" style="73" customWidth="1"/>
    <col min="13070" max="13070" width="10" style="73" customWidth="1"/>
    <col min="13071" max="13071" width="8.28515625" style="73" customWidth="1"/>
    <col min="13072" max="13072" width="9.5703125" style="73" customWidth="1"/>
    <col min="13073" max="13073" width="15.5703125" style="73" customWidth="1"/>
    <col min="13074" max="13305" width="9.140625" style="73"/>
    <col min="13306" max="13306" width="6.85546875" style="73" customWidth="1"/>
    <col min="13307" max="13307" width="2.140625" style="73" customWidth="1"/>
    <col min="13308" max="13308" width="6.140625" style="73" customWidth="1"/>
    <col min="13309" max="13309" width="8.85546875" style="73" customWidth="1"/>
    <col min="13310" max="13310" width="28.42578125" style="73" customWidth="1"/>
    <col min="13311" max="13311" width="13.85546875" style="73" customWidth="1"/>
    <col min="13312" max="13312" width="8.42578125" style="73" customWidth="1"/>
    <col min="13313" max="13316" width="0" style="73" hidden="1" customWidth="1"/>
    <col min="13317" max="13317" width="5.28515625" style="73" customWidth="1"/>
    <col min="13318" max="13318" width="5.5703125" style="73" customWidth="1"/>
    <col min="13319" max="13319" width="6" style="73" customWidth="1"/>
    <col min="13320" max="13320" width="5.5703125" style="73" customWidth="1"/>
    <col min="13321" max="13322" width="5.7109375" style="73" customWidth="1"/>
    <col min="13323" max="13323" width="9.85546875" style="73" customWidth="1"/>
    <col min="13324" max="13324" width="9.7109375" style="73" customWidth="1"/>
    <col min="13325" max="13325" width="8.85546875" style="73" customWidth="1"/>
    <col min="13326" max="13326" width="10" style="73" customWidth="1"/>
    <col min="13327" max="13327" width="8.28515625" style="73" customWidth="1"/>
    <col min="13328" max="13328" width="9.5703125" style="73" customWidth="1"/>
    <col min="13329" max="13329" width="15.5703125" style="73" customWidth="1"/>
    <col min="13330" max="13561" width="9.140625" style="73"/>
    <col min="13562" max="13562" width="6.85546875" style="73" customWidth="1"/>
    <col min="13563" max="13563" width="2.140625" style="73" customWidth="1"/>
    <col min="13564" max="13564" width="6.140625" style="73" customWidth="1"/>
    <col min="13565" max="13565" width="8.85546875" style="73" customWidth="1"/>
    <col min="13566" max="13566" width="28.42578125" style="73" customWidth="1"/>
    <col min="13567" max="13567" width="13.85546875" style="73" customWidth="1"/>
    <col min="13568" max="13568" width="8.42578125" style="73" customWidth="1"/>
    <col min="13569" max="13572" width="0" style="73" hidden="1" customWidth="1"/>
    <col min="13573" max="13573" width="5.28515625" style="73" customWidth="1"/>
    <col min="13574" max="13574" width="5.5703125" style="73" customWidth="1"/>
    <col min="13575" max="13575" width="6" style="73" customWidth="1"/>
    <col min="13576" max="13576" width="5.5703125" style="73" customWidth="1"/>
    <col min="13577" max="13578" width="5.7109375" style="73" customWidth="1"/>
    <col min="13579" max="13579" width="9.85546875" style="73" customWidth="1"/>
    <col min="13580" max="13580" width="9.7109375" style="73" customWidth="1"/>
    <col min="13581" max="13581" width="8.85546875" style="73" customWidth="1"/>
    <col min="13582" max="13582" width="10" style="73" customWidth="1"/>
    <col min="13583" max="13583" width="8.28515625" style="73" customWidth="1"/>
    <col min="13584" max="13584" width="9.5703125" style="73" customWidth="1"/>
    <col min="13585" max="13585" width="15.5703125" style="73" customWidth="1"/>
    <col min="13586" max="13817" width="9.140625" style="73"/>
    <col min="13818" max="13818" width="6.85546875" style="73" customWidth="1"/>
    <col min="13819" max="13819" width="2.140625" style="73" customWidth="1"/>
    <col min="13820" max="13820" width="6.140625" style="73" customWidth="1"/>
    <col min="13821" max="13821" width="8.85546875" style="73" customWidth="1"/>
    <col min="13822" max="13822" width="28.42578125" style="73" customWidth="1"/>
    <col min="13823" max="13823" width="13.85546875" style="73" customWidth="1"/>
    <col min="13824" max="13824" width="8.42578125" style="73" customWidth="1"/>
    <col min="13825" max="13828" width="0" style="73" hidden="1" customWidth="1"/>
    <col min="13829" max="13829" width="5.28515625" style="73" customWidth="1"/>
    <col min="13830" max="13830" width="5.5703125" style="73" customWidth="1"/>
    <col min="13831" max="13831" width="6" style="73" customWidth="1"/>
    <col min="13832" max="13832" width="5.5703125" style="73" customWidth="1"/>
    <col min="13833" max="13834" width="5.7109375" style="73" customWidth="1"/>
    <col min="13835" max="13835" width="9.85546875" style="73" customWidth="1"/>
    <col min="13836" max="13836" width="9.7109375" style="73" customWidth="1"/>
    <col min="13837" max="13837" width="8.85546875" style="73" customWidth="1"/>
    <col min="13838" max="13838" width="10" style="73" customWidth="1"/>
    <col min="13839" max="13839" width="8.28515625" style="73" customWidth="1"/>
    <col min="13840" max="13840" width="9.5703125" style="73" customWidth="1"/>
    <col min="13841" max="13841" width="15.5703125" style="73" customWidth="1"/>
    <col min="13842" max="14073" width="9.140625" style="73"/>
    <col min="14074" max="14074" width="6.85546875" style="73" customWidth="1"/>
    <col min="14075" max="14075" width="2.140625" style="73" customWidth="1"/>
    <col min="14076" max="14076" width="6.140625" style="73" customWidth="1"/>
    <col min="14077" max="14077" width="8.85546875" style="73" customWidth="1"/>
    <col min="14078" max="14078" width="28.42578125" style="73" customWidth="1"/>
    <col min="14079" max="14079" width="13.85546875" style="73" customWidth="1"/>
    <col min="14080" max="14080" width="8.42578125" style="73" customWidth="1"/>
    <col min="14081" max="14084" width="0" style="73" hidden="1" customWidth="1"/>
    <col min="14085" max="14085" width="5.28515625" style="73" customWidth="1"/>
    <col min="14086" max="14086" width="5.5703125" style="73" customWidth="1"/>
    <col min="14087" max="14087" width="6" style="73" customWidth="1"/>
    <col min="14088" max="14088" width="5.5703125" style="73" customWidth="1"/>
    <col min="14089" max="14090" width="5.7109375" style="73" customWidth="1"/>
    <col min="14091" max="14091" width="9.85546875" style="73" customWidth="1"/>
    <col min="14092" max="14092" width="9.7109375" style="73" customWidth="1"/>
    <col min="14093" max="14093" width="8.85546875" style="73" customWidth="1"/>
    <col min="14094" max="14094" width="10" style="73" customWidth="1"/>
    <col min="14095" max="14095" width="8.28515625" style="73" customWidth="1"/>
    <col min="14096" max="14096" width="9.5703125" style="73" customWidth="1"/>
    <col min="14097" max="14097" width="15.5703125" style="73" customWidth="1"/>
    <col min="14098" max="14329" width="9.140625" style="73"/>
    <col min="14330" max="14330" width="6.85546875" style="73" customWidth="1"/>
    <col min="14331" max="14331" width="2.140625" style="73" customWidth="1"/>
    <col min="14332" max="14332" width="6.140625" style="73" customWidth="1"/>
    <col min="14333" max="14333" width="8.85546875" style="73" customWidth="1"/>
    <col min="14334" max="14334" width="28.42578125" style="73" customWidth="1"/>
    <col min="14335" max="14335" width="13.85546875" style="73" customWidth="1"/>
    <col min="14336" max="14336" width="8.42578125" style="73" customWidth="1"/>
    <col min="14337" max="14340" width="0" style="73" hidden="1" customWidth="1"/>
    <col min="14341" max="14341" width="5.28515625" style="73" customWidth="1"/>
    <col min="14342" max="14342" width="5.5703125" style="73" customWidth="1"/>
    <col min="14343" max="14343" width="6" style="73" customWidth="1"/>
    <col min="14344" max="14344" width="5.5703125" style="73" customWidth="1"/>
    <col min="14345" max="14346" width="5.7109375" style="73" customWidth="1"/>
    <col min="14347" max="14347" width="9.85546875" style="73" customWidth="1"/>
    <col min="14348" max="14348" width="9.7109375" style="73" customWidth="1"/>
    <col min="14349" max="14349" width="8.85546875" style="73" customWidth="1"/>
    <col min="14350" max="14350" width="10" style="73" customWidth="1"/>
    <col min="14351" max="14351" width="8.28515625" style="73" customWidth="1"/>
    <col min="14352" max="14352" width="9.5703125" style="73" customWidth="1"/>
    <col min="14353" max="14353" width="15.5703125" style="73" customWidth="1"/>
    <col min="14354" max="14585" width="9.140625" style="73"/>
    <col min="14586" max="14586" width="6.85546875" style="73" customWidth="1"/>
    <col min="14587" max="14587" width="2.140625" style="73" customWidth="1"/>
    <col min="14588" max="14588" width="6.140625" style="73" customWidth="1"/>
    <col min="14589" max="14589" width="8.85546875" style="73" customWidth="1"/>
    <col min="14590" max="14590" width="28.42578125" style="73" customWidth="1"/>
    <col min="14591" max="14591" width="13.85546875" style="73" customWidth="1"/>
    <col min="14592" max="14592" width="8.42578125" style="73" customWidth="1"/>
    <col min="14593" max="14596" width="0" style="73" hidden="1" customWidth="1"/>
    <col min="14597" max="14597" width="5.28515625" style="73" customWidth="1"/>
    <col min="14598" max="14598" width="5.5703125" style="73" customWidth="1"/>
    <col min="14599" max="14599" width="6" style="73" customWidth="1"/>
    <col min="14600" max="14600" width="5.5703125" style="73" customWidth="1"/>
    <col min="14601" max="14602" width="5.7109375" style="73" customWidth="1"/>
    <col min="14603" max="14603" width="9.85546875" style="73" customWidth="1"/>
    <col min="14604" max="14604" width="9.7109375" style="73" customWidth="1"/>
    <col min="14605" max="14605" width="8.85546875" style="73" customWidth="1"/>
    <col min="14606" max="14606" width="10" style="73" customWidth="1"/>
    <col min="14607" max="14607" width="8.28515625" style="73" customWidth="1"/>
    <col min="14608" max="14608" width="9.5703125" style="73" customWidth="1"/>
    <col min="14609" max="14609" width="15.5703125" style="73" customWidth="1"/>
    <col min="14610" max="14841" width="9.140625" style="73"/>
    <col min="14842" max="14842" width="6.85546875" style="73" customWidth="1"/>
    <col min="14843" max="14843" width="2.140625" style="73" customWidth="1"/>
    <col min="14844" max="14844" width="6.140625" style="73" customWidth="1"/>
    <col min="14845" max="14845" width="8.85546875" style="73" customWidth="1"/>
    <col min="14846" max="14846" width="28.42578125" style="73" customWidth="1"/>
    <col min="14847" max="14847" width="13.85546875" style="73" customWidth="1"/>
    <col min="14848" max="14848" width="8.42578125" style="73" customWidth="1"/>
    <col min="14849" max="14852" width="0" style="73" hidden="1" customWidth="1"/>
    <col min="14853" max="14853" width="5.28515625" style="73" customWidth="1"/>
    <col min="14854" max="14854" width="5.5703125" style="73" customWidth="1"/>
    <col min="14855" max="14855" width="6" style="73" customWidth="1"/>
    <col min="14856" max="14856" width="5.5703125" style="73" customWidth="1"/>
    <col min="14857" max="14858" width="5.7109375" style="73" customWidth="1"/>
    <col min="14859" max="14859" width="9.85546875" style="73" customWidth="1"/>
    <col min="14860" max="14860" width="9.7109375" style="73" customWidth="1"/>
    <col min="14861" max="14861" width="8.85546875" style="73" customWidth="1"/>
    <col min="14862" max="14862" width="10" style="73" customWidth="1"/>
    <col min="14863" max="14863" width="8.28515625" style="73" customWidth="1"/>
    <col min="14864" max="14864" width="9.5703125" style="73" customWidth="1"/>
    <col min="14865" max="14865" width="15.5703125" style="73" customWidth="1"/>
    <col min="14866" max="15097" width="9.140625" style="73"/>
    <col min="15098" max="15098" width="6.85546875" style="73" customWidth="1"/>
    <col min="15099" max="15099" width="2.140625" style="73" customWidth="1"/>
    <col min="15100" max="15100" width="6.140625" style="73" customWidth="1"/>
    <col min="15101" max="15101" width="8.85546875" style="73" customWidth="1"/>
    <col min="15102" max="15102" width="28.42578125" style="73" customWidth="1"/>
    <col min="15103" max="15103" width="13.85546875" style="73" customWidth="1"/>
    <col min="15104" max="15104" width="8.42578125" style="73" customWidth="1"/>
    <col min="15105" max="15108" width="0" style="73" hidden="1" customWidth="1"/>
    <col min="15109" max="15109" width="5.28515625" style="73" customWidth="1"/>
    <col min="15110" max="15110" width="5.5703125" style="73" customWidth="1"/>
    <col min="15111" max="15111" width="6" style="73" customWidth="1"/>
    <col min="15112" max="15112" width="5.5703125" style="73" customWidth="1"/>
    <col min="15113" max="15114" width="5.7109375" style="73" customWidth="1"/>
    <col min="15115" max="15115" width="9.85546875" style="73" customWidth="1"/>
    <col min="15116" max="15116" width="9.7109375" style="73" customWidth="1"/>
    <col min="15117" max="15117" width="8.85546875" style="73" customWidth="1"/>
    <col min="15118" max="15118" width="10" style="73" customWidth="1"/>
    <col min="15119" max="15119" width="8.28515625" style="73" customWidth="1"/>
    <col min="15120" max="15120" width="9.5703125" style="73" customWidth="1"/>
    <col min="15121" max="15121" width="15.5703125" style="73" customWidth="1"/>
    <col min="15122" max="15353" width="9.140625" style="73"/>
    <col min="15354" max="15354" width="6.85546875" style="73" customWidth="1"/>
    <col min="15355" max="15355" width="2.140625" style="73" customWidth="1"/>
    <col min="15356" max="15356" width="6.140625" style="73" customWidth="1"/>
    <col min="15357" max="15357" width="8.85546875" style="73" customWidth="1"/>
    <col min="15358" max="15358" width="28.42578125" style="73" customWidth="1"/>
    <col min="15359" max="15359" width="13.85546875" style="73" customWidth="1"/>
    <col min="15360" max="15360" width="8.42578125" style="73" customWidth="1"/>
    <col min="15361" max="15364" width="0" style="73" hidden="1" customWidth="1"/>
    <col min="15365" max="15365" width="5.28515625" style="73" customWidth="1"/>
    <col min="15366" max="15366" width="5.5703125" style="73" customWidth="1"/>
    <col min="15367" max="15367" width="6" style="73" customWidth="1"/>
    <col min="15368" max="15368" width="5.5703125" style="73" customWidth="1"/>
    <col min="15369" max="15370" width="5.7109375" style="73" customWidth="1"/>
    <col min="15371" max="15371" width="9.85546875" style="73" customWidth="1"/>
    <col min="15372" max="15372" width="9.7109375" style="73" customWidth="1"/>
    <col min="15373" max="15373" width="8.85546875" style="73" customWidth="1"/>
    <col min="15374" max="15374" width="10" style="73" customWidth="1"/>
    <col min="15375" max="15375" width="8.28515625" style="73" customWidth="1"/>
    <col min="15376" max="15376" width="9.5703125" style="73" customWidth="1"/>
    <col min="15377" max="15377" width="15.5703125" style="73" customWidth="1"/>
    <col min="15378" max="15609" width="9.140625" style="73"/>
    <col min="15610" max="15610" width="6.85546875" style="73" customWidth="1"/>
    <col min="15611" max="15611" width="2.140625" style="73" customWidth="1"/>
    <col min="15612" max="15612" width="6.140625" style="73" customWidth="1"/>
    <col min="15613" max="15613" width="8.85546875" style="73" customWidth="1"/>
    <col min="15614" max="15614" width="28.42578125" style="73" customWidth="1"/>
    <col min="15615" max="15615" width="13.85546875" style="73" customWidth="1"/>
    <col min="15616" max="15616" width="8.42578125" style="73" customWidth="1"/>
    <col min="15617" max="15620" width="0" style="73" hidden="1" customWidth="1"/>
    <col min="15621" max="15621" width="5.28515625" style="73" customWidth="1"/>
    <col min="15622" max="15622" width="5.5703125" style="73" customWidth="1"/>
    <col min="15623" max="15623" width="6" style="73" customWidth="1"/>
    <col min="15624" max="15624" width="5.5703125" style="73" customWidth="1"/>
    <col min="15625" max="15626" width="5.7109375" style="73" customWidth="1"/>
    <col min="15627" max="15627" width="9.85546875" style="73" customWidth="1"/>
    <col min="15628" max="15628" width="9.7109375" style="73" customWidth="1"/>
    <col min="15629" max="15629" width="8.85546875" style="73" customWidth="1"/>
    <col min="15630" max="15630" width="10" style="73" customWidth="1"/>
    <col min="15631" max="15631" width="8.28515625" style="73" customWidth="1"/>
    <col min="15632" max="15632" width="9.5703125" style="73" customWidth="1"/>
    <col min="15633" max="15633" width="15.5703125" style="73" customWidth="1"/>
    <col min="15634" max="15865" width="9.140625" style="73"/>
    <col min="15866" max="15866" width="6.85546875" style="73" customWidth="1"/>
    <col min="15867" max="15867" width="2.140625" style="73" customWidth="1"/>
    <col min="15868" max="15868" width="6.140625" style="73" customWidth="1"/>
    <col min="15869" max="15869" width="8.85546875" style="73" customWidth="1"/>
    <col min="15870" max="15870" width="28.42578125" style="73" customWidth="1"/>
    <col min="15871" max="15871" width="13.85546875" style="73" customWidth="1"/>
    <col min="15872" max="15872" width="8.42578125" style="73" customWidth="1"/>
    <col min="15873" max="15876" width="0" style="73" hidden="1" customWidth="1"/>
    <col min="15877" max="15877" width="5.28515625" style="73" customWidth="1"/>
    <col min="15878" max="15878" width="5.5703125" style="73" customWidth="1"/>
    <col min="15879" max="15879" width="6" style="73" customWidth="1"/>
    <col min="15880" max="15880" width="5.5703125" style="73" customWidth="1"/>
    <col min="15881" max="15882" width="5.7109375" style="73" customWidth="1"/>
    <col min="15883" max="15883" width="9.85546875" style="73" customWidth="1"/>
    <col min="15884" max="15884" width="9.7109375" style="73" customWidth="1"/>
    <col min="15885" max="15885" width="8.85546875" style="73" customWidth="1"/>
    <col min="15886" max="15886" width="10" style="73" customWidth="1"/>
    <col min="15887" max="15887" width="8.28515625" style="73" customWidth="1"/>
    <col min="15888" max="15888" width="9.5703125" style="73" customWidth="1"/>
    <col min="15889" max="15889" width="15.5703125" style="73" customWidth="1"/>
    <col min="15890" max="16121" width="9.140625" style="73"/>
    <col min="16122" max="16122" width="6.85546875" style="73" customWidth="1"/>
    <col min="16123" max="16123" width="2.140625" style="73" customWidth="1"/>
    <col min="16124" max="16124" width="6.140625" style="73" customWidth="1"/>
    <col min="16125" max="16125" width="8.85546875" style="73" customWidth="1"/>
    <col min="16126" max="16126" width="28.42578125" style="73" customWidth="1"/>
    <col min="16127" max="16127" width="13.85546875" style="73" customWidth="1"/>
    <col min="16128" max="16128" width="8.42578125" style="73" customWidth="1"/>
    <col min="16129" max="16132" width="0" style="73" hidden="1" customWidth="1"/>
    <col min="16133" max="16133" width="5.28515625" style="73" customWidth="1"/>
    <col min="16134" max="16134" width="5.5703125" style="73" customWidth="1"/>
    <col min="16135" max="16135" width="6" style="73" customWidth="1"/>
    <col min="16136" max="16136" width="5.5703125" style="73" customWidth="1"/>
    <col min="16137" max="16138" width="5.7109375" style="73" customWidth="1"/>
    <col min="16139" max="16139" width="9.85546875" style="73" customWidth="1"/>
    <col min="16140" max="16140" width="9.7109375" style="73" customWidth="1"/>
    <col min="16141" max="16141" width="8.85546875" style="73" customWidth="1"/>
    <col min="16142" max="16142" width="10" style="73" customWidth="1"/>
    <col min="16143" max="16143" width="8.28515625" style="73" customWidth="1"/>
    <col min="16144" max="16144" width="9.5703125" style="73" customWidth="1"/>
    <col min="16145" max="16145" width="15.5703125" style="73" customWidth="1"/>
    <col min="16146" max="16384" width="9.140625" style="73"/>
  </cols>
  <sheetData>
    <row r="1" spans="1:31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"/>
    </row>
    <row r="2" spans="1:31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"/>
    </row>
    <row r="3" spans="1:31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"/>
    </row>
    <row r="4" spans="1:31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31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3" t="s">
        <v>4</v>
      </c>
    </row>
    <row r="6" spans="1:31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4"/>
    </row>
    <row r="7" spans="1:31" s="6" customFormat="1" ht="18.75" customHeight="1">
      <c r="A7" s="5" t="s">
        <v>6</v>
      </c>
      <c r="C7" s="7"/>
      <c r="D7" s="7" t="s">
        <v>153</v>
      </c>
      <c r="E7" s="7"/>
      <c r="F7" s="7"/>
      <c r="G7" s="5"/>
    </row>
    <row r="8" spans="1:31" s="8" customFormat="1" ht="18.75" customHeight="1">
      <c r="A8" s="5" t="s">
        <v>7</v>
      </c>
      <c r="C8" s="9"/>
      <c r="D8" s="10">
        <v>4500505877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1" s="8" customFormat="1" ht="18.75" customHeight="1">
      <c r="A9" s="12"/>
      <c r="C9" s="81"/>
      <c r="D9" s="13" t="s">
        <v>148</v>
      </c>
      <c r="E9" s="13"/>
      <c r="F9" s="14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Y9" s="6"/>
      <c r="Z9" s="6"/>
      <c r="AA9" s="6"/>
      <c r="AB9" s="6"/>
      <c r="AC9" s="6"/>
    </row>
    <row r="10" spans="1:31" s="8" customFormat="1" ht="18.75" customHeight="1">
      <c r="A10" s="12"/>
      <c r="C10" s="81"/>
      <c r="D10" s="273" t="s">
        <v>149</v>
      </c>
      <c r="E10" s="273"/>
      <c r="F10" s="273"/>
      <c r="G10" s="10" t="s">
        <v>134</v>
      </c>
      <c r="H10" s="112" t="s">
        <v>140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6"/>
      <c r="Z10" s="6"/>
      <c r="AA10" s="6"/>
      <c r="AB10" s="6"/>
      <c r="AC10" s="6"/>
    </row>
    <row r="11" spans="1:31" s="8" customFormat="1" ht="18.75" customHeight="1">
      <c r="A11" s="12"/>
      <c r="C11" s="81"/>
      <c r="D11" s="13"/>
      <c r="E11" s="16"/>
      <c r="F11" s="14"/>
      <c r="G11" s="10"/>
      <c r="I11" s="6"/>
      <c r="J11" s="6"/>
      <c r="K11" s="6"/>
      <c r="L11" s="6"/>
      <c r="M11" s="6"/>
      <c r="N11" s="6"/>
      <c r="O11" s="6" t="s">
        <v>101</v>
      </c>
      <c r="P11" s="6"/>
      <c r="R11" s="6"/>
      <c r="S11" s="6"/>
      <c r="T11" s="6"/>
      <c r="U11" s="6"/>
    </row>
    <row r="12" spans="1:31" s="8" customFormat="1" ht="18.75" customHeight="1" thickBot="1">
      <c r="A12" s="12" t="s">
        <v>9</v>
      </c>
      <c r="C12" s="250">
        <v>1176</v>
      </c>
      <c r="D12" s="250"/>
      <c r="E12" s="81"/>
      <c r="F12" s="14"/>
      <c r="G12" s="10"/>
      <c r="H12" s="17" t="s">
        <v>116</v>
      </c>
      <c r="I12" s="17"/>
      <c r="J12" s="6"/>
      <c r="K12" s="6"/>
      <c r="L12" s="6"/>
      <c r="M12" s="6"/>
      <c r="N12" s="6"/>
      <c r="O12" s="13" t="s">
        <v>148</v>
      </c>
      <c r="P12" s="6"/>
      <c r="R12" s="19"/>
      <c r="S12" s="19"/>
      <c r="T12" s="19"/>
      <c r="U12" s="19"/>
    </row>
    <row r="13" spans="1:31" s="22" customFormat="1" ht="22.5" customHeight="1" thickBot="1">
      <c r="A13" s="251" t="s">
        <v>11</v>
      </c>
      <c r="B13" s="252"/>
      <c r="C13" s="253"/>
      <c r="D13" s="260" t="s">
        <v>12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1"/>
      <c r="Q13" s="232" t="s">
        <v>18</v>
      </c>
      <c r="R13" s="235" t="s">
        <v>47</v>
      </c>
      <c r="S13" s="20" t="s">
        <v>20</v>
      </c>
      <c r="T13" s="20" t="s">
        <v>21</v>
      </c>
      <c r="U13" s="20" t="s">
        <v>22</v>
      </c>
      <c r="V13" s="21" t="s">
        <v>23</v>
      </c>
      <c r="W13" s="235" t="s">
        <v>24</v>
      </c>
      <c r="X13" s="238" t="s">
        <v>127</v>
      </c>
      <c r="Y13" s="239"/>
      <c r="Z13" s="240"/>
      <c r="AA13" s="224" t="s">
        <v>26</v>
      </c>
      <c r="AB13" s="224" t="s">
        <v>49</v>
      </c>
      <c r="AE13" s="22" t="s">
        <v>113</v>
      </c>
    </row>
    <row r="14" spans="1:31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>
        <v>8</v>
      </c>
      <c r="J14" s="227">
        <v>10</v>
      </c>
      <c r="K14" s="227">
        <v>12</v>
      </c>
      <c r="L14" s="227">
        <v>14</v>
      </c>
      <c r="M14" s="227">
        <v>16</v>
      </c>
      <c r="N14" s="227">
        <v>18</v>
      </c>
      <c r="O14" s="227">
        <v>20</v>
      </c>
      <c r="P14" s="269" t="s">
        <v>28</v>
      </c>
      <c r="Q14" s="233"/>
      <c r="R14" s="236"/>
      <c r="S14" s="23"/>
      <c r="T14" s="23"/>
      <c r="U14" s="23"/>
      <c r="V14" s="24"/>
      <c r="W14" s="236"/>
      <c r="X14" s="241"/>
      <c r="Y14" s="242"/>
      <c r="Z14" s="243"/>
      <c r="AA14" s="225"/>
      <c r="AB14" s="225"/>
    </row>
    <row r="15" spans="1:31" s="22" customFormat="1" ht="24" customHeight="1" thickBot="1">
      <c r="A15" s="257"/>
      <c r="B15" s="258"/>
      <c r="C15" s="259"/>
      <c r="D15" s="262"/>
      <c r="E15" s="261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2"/>
      <c r="Q15" s="234"/>
      <c r="R15" s="237"/>
      <c r="S15" s="25" t="s">
        <v>29</v>
      </c>
      <c r="T15" s="79" t="s">
        <v>29</v>
      </c>
      <c r="U15" s="25" t="s">
        <v>29</v>
      </c>
      <c r="V15" s="25" t="s">
        <v>29</v>
      </c>
      <c r="W15" s="237"/>
      <c r="X15" s="79" t="s">
        <v>4</v>
      </c>
      <c r="Y15" s="79" t="s">
        <v>30</v>
      </c>
      <c r="Z15" s="79" t="s">
        <v>31</v>
      </c>
      <c r="AA15" s="226"/>
      <c r="AB15" s="226"/>
    </row>
    <row r="16" spans="1:31" s="42" customFormat="1" ht="27.75" customHeight="1">
      <c r="A16" s="27">
        <v>1</v>
      </c>
      <c r="B16" s="28" t="s">
        <v>32</v>
      </c>
      <c r="C16" s="27">
        <f t="shared" ref="C16:C22" si="0">+A16+D16-1</f>
        <v>120</v>
      </c>
      <c r="D16" s="27">
        <f t="shared" ref="D16:D22" si="1">+R16/Q16</f>
        <v>120</v>
      </c>
      <c r="E16" s="28" t="s">
        <v>196</v>
      </c>
      <c r="F16" s="83" t="str">
        <f>+$D$7</f>
        <v xml:space="preserve">36K8J0045-022-PC </v>
      </c>
      <c r="G16" s="28" t="s">
        <v>152</v>
      </c>
      <c r="H16" s="30">
        <f>+$D$8</f>
        <v>4500505877</v>
      </c>
      <c r="I16" s="31">
        <v>1</v>
      </c>
      <c r="J16" s="31"/>
      <c r="K16" s="31"/>
      <c r="L16" s="31"/>
      <c r="M16" s="31"/>
      <c r="N16" s="30"/>
      <c r="O16" s="30"/>
      <c r="P16" s="30"/>
      <c r="Q16" s="28">
        <f t="shared" ref="Q16:Q22" si="2">+SUM(I16:P16)</f>
        <v>1</v>
      </c>
      <c r="R16" s="28">
        <v>120</v>
      </c>
      <c r="S16" s="99"/>
      <c r="T16" s="99"/>
      <c r="U16" s="105">
        <f>+S16*D16*Q16</f>
        <v>0</v>
      </c>
      <c r="V16" s="35">
        <f>+T16*D16*Q16</f>
        <v>0</v>
      </c>
      <c r="W16" s="82">
        <f>+ROUND(D16*X16*Y16*Z16/1000000,3)</f>
        <v>0</v>
      </c>
      <c r="X16" s="94"/>
      <c r="Y16" s="94"/>
      <c r="Z16" s="94"/>
      <c r="AA16" s="109"/>
      <c r="AD16" s="42">
        <f>0.4191*2+0.3366*4+0.12*12</f>
        <v>3.6246</v>
      </c>
      <c r="AE16" s="42">
        <f t="shared" ref="AE16:AE22" si="3">AD16*D16</f>
        <v>434.952</v>
      </c>
    </row>
    <row r="17" spans="1:32" s="42" customFormat="1" ht="27.75" customHeight="1">
      <c r="A17" s="27">
        <f>+C16+1</f>
        <v>121</v>
      </c>
      <c r="B17" s="28" t="s">
        <v>32</v>
      </c>
      <c r="C17" s="27">
        <f t="shared" si="0"/>
        <v>288</v>
      </c>
      <c r="D17" s="27">
        <f t="shared" si="1"/>
        <v>168</v>
      </c>
      <c r="E17" s="28" t="s">
        <v>197</v>
      </c>
      <c r="F17" s="83" t="str">
        <f t="shared" ref="F17:F22" si="4">+$D$7</f>
        <v xml:space="preserve">36K8J0045-022-PC </v>
      </c>
      <c r="G17" s="28" t="str">
        <f>+$G$16</f>
        <v>022 OXFORD GREY HE</v>
      </c>
      <c r="H17" s="30">
        <f t="shared" ref="H17:H22" si="5">+$D$8</f>
        <v>4500505877</v>
      </c>
      <c r="I17" s="31"/>
      <c r="J17" s="31">
        <v>1</v>
      </c>
      <c r="K17" s="31"/>
      <c r="L17" s="31"/>
      <c r="M17" s="31"/>
      <c r="N17" s="30"/>
      <c r="O17" s="30"/>
      <c r="P17" s="30"/>
      <c r="Q17" s="28">
        <f t="shared" si="2"/>
        <v>1</v>
      </c>
      <c r="R17" s="28">
        <v>168</v>
      </c>
      <c r="S17" s="99"/>
      <c r="T17" s="99"/>
      <c r="U17" s="105">
        <f t="shared" ref="U17:U22" si="6">+S17*D17*Q17</f>
        <v>0</v>
      </c>
      <c r="V17" s="35">
        <f t="shared" ref="V17:V22" si="7">+T17*D17*Q17</f>
        <v>0</v>
      </c>
      <c r="W17" s="82">
        <f t="shared" ref="W17:W22" si="8">+ROUND(D17*X17*Y17*Z17/1000000,3)</f>
        <v>0</v>
      </c>
      <c r="X17" s="94"/>
      <c r="Y17" s="94"/>
      <c r="Z17" s="94"/>
      <c r="AA17" s="109"/>
      <c r="AD17" s="42">
        <f>0.4445*2+0.3683*4+0.12*12</f>
        <v>3.8022</v>
      </c>
      <c r="AE17" s="42">
        <f t="shared" si="3"/>
        <v>638.76959999999997</v>
      </c>
    </row>
    <row r="18" spans="1:32" s="42" customFormat="1" ht="27.75" customHeight="1">
      <c r="A18" s="27">
        <f t="shared" ref="A18:A22" si="9">+C17+1</f>
        <v>289</v>
      </c>
      <c r="B18" s="28" t="s">
        <v>32</v>
      </c>
      <c r="C18" s="27">
        <f t="shared" si="0"/>
        <v>456</v>
      </c>
      <c r="D18" s="27">
        <f t="shared" si="1"/>
        <v>168</v>
      </c>
      <c r="E18" s="28" t="s">
        <v>198</v>
      </c>
      <c r="F18" s="83" t="str">
        <f t="shared" si="4"/>
        <v xml:space="preserve">36K8J0045-022-PC </v>
      </c>
      <c r="G18" s="28" t="str">
        <f t="shared" ref="G18:G22" si="10">+$G$16</f>
        <v>022 OXFORD GREY HE</v>
      </c>
      <c r="H18" s="30">
        <f t="shared" si="5"/>
        <v>4500505877</v>
      </c>
      <c r="I18" s="31"/>
      <c r="J18" s="31"/>
      <c r="K18" s="31">
        <v>1</v>
      </c>
      <c r="L18" s="31"/>
      <c r="M18" s="31"/>
      <c r="N18" s="30"/>
      <c r="O18" s="30"/>
      <c r="P18" s="30"/>
      <c r="Q18" s="28">
        <f t="shared" si="2"/>
        <v>1</v>
      </c>
      <c r="R18" s="28">
        <v>168</v>
      </c>
      <c r="S18" s="99"/>
      <c r="T18" s="99"/>
      <c r="U18" s="105">
        <f t="shared" si="6"/>
        <v>0</v>
      </c>
      <c r="V18" s="35">
        <f t="shared" si="7"/>
        <v>0</v>
      </c>
      <c r="W18" s="82">
        <f t="shared" si="8"/>
        <v>0</v>
      </c>
      <c r="X18" s="94"/>
      <c r="Y18" s="94"/>
      <c r="Z18" s="94"/>
      <c r="AA18" s="109"/>
      <c r="AD18" s="42">
        <f>0.4445*2+0.3683*4+0.12*12</f>
        <v>3.8022</v>
      </c>
      <c r="AE18" s="42">
        <f t="shared" si="3"/>
        <v>638.76959999999997</v>
      </c>
    </row>
    <row r="19" spans="1:32" s="42" customFormat="1" ht="27.75" customHeight="1">
      <c r="A19" s="27">
        <f t="shared" si="9"/>
        <v>457</v>
      </c>
      <c r="B19" s="28" t="s">
        <v>32</v>
      </c>
      <c r="C19" s="27">
        <f t="shared" si="0"/>
        <v>648</v>
      </c>
      <c r="D19" s="27">
        <f t="shared" si="1"/>
        <v>192</v>
      </c>
      <c r="E19" s="28" t="s">
        <v>199</v>
      </c>
      <c r="F19" s="83" t="str">
        <f t="shared" si="4"/>
        <v xml:space="preserve">36K8J0045-022-PC </v>
      </c>
      <c r="G19" s="28" t="str">
        <f t="shared" si="10"/>
        <v>022 OXFORD GREY HE</v>
      </c>
      <c r="H19" s="30">
        <f t="shared" si="5"/>
        <v>4500505877</v>
      </c>
      <c r="I19" s="31"/>
      <c r="J19" s="31"/>
      <c r="K19" s="31"/>
      <c r="L19" s="31">
        <v>1</v>
      </c>
      <c r="M19" s="31"/>
      <c r="N19" s="30"/>
      <c r="O19" s="30"/>
      <c r="P19" s="30"/>
      <c r="Q19" s="28">
        <f t="shared" si="2"/>
        <v>1</v>
      </c>
      <c r="R19" s="28">
        <v>192</v>
      </c>
      <c r="S19" s="99"/>
      <c r="T19" s="99"/>
      <c r="U19" s="105">
        <f t="shared" si="6"/>
        <v>0</v>
      </c>
      <c r="V19" s="35">
        <f t="shared" si="7"/>
        <v>0</v>
      </c>
      <c r="W19" s="82">
        <f t="shared" si="8"/>
        <v>0</v>
      </c>
      <c r="X19" s="94"/>
      <c r="Y19" s="94"/>
      <c r="Z19" s="94"/>
      <c r="AA19" s="109"/>
      <c r="AD19" s="42">
        <f>0.5906*2+0.3874*4+0.12*12</f>
        <v>4.1707999999999998</v>
      </c>
      <c r="AE19" s="42">
        <f t="shared" si="3"/>
        <v>800.79359999999997</v>
      </c>
    </row>
    <row r="20" spans="1:32" s="42" customFormat="1" ht="27.75" customHeight="1">
      <c r="A20" s="27">
        <f t="shared" si="9"/>
        <v>649</v>
      </c>
      <c r="B20" s="28" t="s">
        <v>32</v>
      </c>
      <c r="C20" s="27">
        <f t="shared" si="0"/>
        <v>840</v>
      </c>
      <c r="D20" s="27">
        <f t="shared" si="1"/>
        <v>192</v>
      </c>
      <c r="E20" s="28" t="s">
        <v>200</v>
      </c>
      <c r="F20" s="83" t="str">
        <f t="shared" si="4"/>
        <v xml:space="preserve">36K8J0045-022-PC </v>
      </c>
      <c r="G20" s="28" t="str">
        <f t="shared" si="10"/>
        <v>022 OXFORD GREY HE</v>
      </c>
      <c r="H20" s="30">
        <f t="shared" si="5"/>
        <v>4500505877</v>
      </c>
      <c r="I20" s="31"/>
      <c r="J20" s="31"/>
      <c r="K20" s="31"/>
      <c r="L20" s="31"/>
      <c r="M20" s="31">
        <v>1</v>
      </c>
      <c r="N20" s="31"/>
      <c r="O20" s="30"/>
      <c r="P20" s="30"/>
      <c r="Q20" s="28">
        <f t="shared" si="2"/>
        <v>1</v>
      </c>
      <c r="R20" s="28">
        <v>192</v>
      </c>
      <c r="S20" s="99"/>
      <c r="T20" s="99"/>
      <c r="U20" s="105">
        <f t="shared" si="6"/>
        <v>0</v>
      </c>
      <c r="V20" s="35">
        <f t="shared" si="7"/>
        <v>0</v>
      </c>
      <c r="W20" s="82">
        <f t="shared" si="8"/>
        <v>0</v>
      </c>
      <c r="X20" s="94"/>
      <c r="Y20" s="94"/>
      <c r="Z20" s="94"/>
      <c r="AA20" s="109"/>
      <c r="AD20" s="42">
        <f>0.5906*2+0.3874*4+0.12*12</f>
        <v>4.1707999999999998</v>
      </c>
      <c r="AE20" s="42">
        <f t="shared" si="3"/>
        <v>800.79359999999997</v>
      </c>
    </row>
    <row r="21" spans="1:32" s="42" customFormat="1" ht="27.75" customHeight="1">
      <c r="A21" s="27">
        <f t="shared" si="9"/>
        <v>841</v>
      </c>
      <c r="B21" s="28" t="s">
        <v>32</v>
      </c>
      <c r="C21" s="27">
        <f t="shared" si="0"/>
        <v>1032</v>
      </c>
      <c r="D21" s="27">
        <f t="shared" si="1"/>
        <v>192</v>
      </c>
      <c r="E21" s="28" t="s">
        <v>201</v>
      </c>
      <c r="F21" s="83" t="str">
        <f t="shared" si="4"/>
        <v xml:space="preserve">36K8J0045-022-PC </v>
      </c>
      <c r="G21" s="28" t="str">
        <f t="shared" si="10"/>
        <v>022 OXFORD GREY HE</v>
      </c>
      <c r="H21" s="30">
        <f t="shared" si="5"/>
        <v>4500505877</v>
      </c>
      <c r="I21" s="31"/>
      <c r="J21" s="31"/>
      <c r="K21" s="31"/>
      <c r="L21" s="31"/>
      <c r="M21" s="31"/>
      <c r="N21" s="31">
        <v>1</v>
      </c>
      <c r="O21" s="31"/>
      <c r="P21" s="30"/>
      <c r="Q21" s="28">
        <f t="shared" si="2"/>
        <v>1</v>
      </c>
      <c r="R21" s="28">
        <v>192</v>
      </c>
      <c r="S21" s="99"/>
      <c r="T21" s="99"/>
      <c r="U21" s="105">
        <f t="shared" si="6"/>
        <v>0</v>
      </c>
      <c r="V21" s="35">
        <f t="shared" si="7"/>
        <v>0</v>
      </c>
      <c r="W21" s="82">
        <f t="shared" si="8"/>
        <v>0</v>
      </c>
      <c r="X21" s="94"/>
      <c r="Y21" s="94"/>
      <c r="Z21" s="94"/>
      <c r="AA21" s="109"/>
      <c r="AD21" s="42">
        <f>0.5906*2+0.3874*4+0.12*12</f>
        <v>4.1707999999999998</v>
      </c>
      <c r="AE21" s="42">
        <f t="shared" si="3"/>
        <v>800.79359999999997</v>
      </c>
    </row>
    <row r="22" spans="1:32" s="42" customFormat="1" ht="27.75" customHeight="1">
      <c r="A22" s="27">
        <f t="shared" si="9"/>
        <v>1033</v>
      </c>
      <c r="B22" s="28" t="s">
        <v>32</v>
      </c>
      <c r="C22" s="27">
        <f t="shared" si="0"/>
        <v>1176</v>
      </c>
      <c r="D22" s="27">
        <f t="shared" si="1"/>
        <v>144</v>
      </c>
      <c r="E22" s="28" t="s">
        <v>202</v>
      </c>
      <c r="F22" s="83" t="str">
        <f t="shared" si="4"/>
        <v xml:space="preserve">36K8J0045-022-PC </v>
      </c>
      <c r="G22" s="28" t="str">
        <f t="shared" si="10"/>
        <v>022 OXFORD GREY HE</v>
      </c>
      <c r="H22" s="30">
        <f t="shared" si="5"/>
        <v>4500505877</v>
      </c>
      <c r="I22" s="31"/>
      <c r="J22" s="31"/>
      <c r="K22" s="31"/>
      <c r="L22" s="31"/>
      <c r="M22" s="31"/>
      <c r="N22" s="31"/>
      <c r="O22" s="31">
        <v>1</v>
      </c>
      <c r="P22" s="30"/>
      <c r="Q22" s="28">
        <f t="shared" si="2"/>
        <v>1</v>
      </c>
      <c r="R22" s="28">
        <v>144</v>
      </c>
      <c r="S22" s="99"/>
      <c r="T22" s="99"/>
      <c r="U22" s="105">
        <f t="shared" si="6"/>
        <v>0</v>
      </c>
      <c r="V22" s="35">
        <f t="shared" si="7"/>
        <v>0</v>
      </c>
      <c r="W22" s="82">
        <f t="shared" si="8"/>
        <v>0</v>
      </c>
      <c r="X22" s="94"/>
      <c r="Y22" s="94"/>
      <c r="Z22" s="94"/>
      <c r="AA22" s="109"/>
      <c r="AD22" s="42">
        <f>0.5906*2+0.3874*4+0.12*12</f>
        <v>4.1707999999999998</v>
      </c>
      <c r="AE22" s="42">
        <f t="shared" si="3"/>
        <v>600.59519999999998</v>
      </c>
    </row>
    <row r="23" spans="1:32" s="42" customFormat="1" ht="24" customHeight="1">
      <c r="A23" s="219" t="s">
        <v>33</v>
      </c>
      <c r="B23" s="220"/>
      <c r="C23" s="221"/>
      <c r="D23" s="44">
        <f>SUM(D16:D22)</f>
        <v>1176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4">
        <f>SUM(R16:R22)</f>
        <v>1176</v>
      </c>
      <c r="S23" s="49"/>
      <c r="T23" s="49"/>
      <c r="U23" s="106">
        <f>SUM(U16:U20)</f>
        <v>0</v>
      </c>
      <c r="V23" s="106">
        <f>SUM(V16:V20)</f>
        <v>0</v>
      </c>
      <c r="W23" s="51">
        <f>SUM(W16:W20)</f>
        <v>0</v>
      </c>
      <c r="X23" s="52"/>
      <c r="Y23" s="3"/>
      <c r="Z23" s="53"/>
      <c r="AA23" s="8"/>
      <c r="AE23" s="110">
        <f>SUM(AE16:AE20)/86</f>
        <v>38.535795348837205</v>
      </c>
      <c r="AF23" s="42" t="s">
        <v>114</v>
      </c>
    </row>
    <row r="24" spans="1:32" s="42" customFormat="1" ht="12.75" customHeight="1">
      <c r="A24" s="54"/>
      <c r="B24" s="22"/>
      <c r="C24" s="22"/>
      <c r="D24" s="55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57"/>
      <c r="S24" s="22"/>
      <c r="T24" s="22"/>
      <c r="U24" s="57"/>
      <c r="V24" s="57"/>
      <c r="W24" s="58"/>
      <c r="X24" s="3"/>
      <c r="Y24" s="3"/>
      <c r="Z24" s="53"/>
      <c r="AA24" s="8"/>
    </row>
    <row r="25" spans="1:32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0"/>
      <c r="S25" s="22"/>
      <c r="T25" s="56"/>
      <c r="U25" s="57"/>
      <c r="V25" s="57"/>
      <c r="W25" s="61"/>
      <c r="X25" s="3"/>
      <c r="Y25" s="3"/>
      <c r="Z25" s="53"/>
      <c r="AA25" s="8"/>
    </row>
    <row r="26" spans="1:32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70" t="str">
        <f>+H13</f>
        <v>Po#</v>
      </c>
      <c r="I26" s="266">
        <v>8</v>
      </c>
      <c r="J26" s="266">
        <v>10</v>
      </c>
      <c r="K26" s="266">
        <v>12</v>
      </c>
      <c r="L26" s="266">
        <v>14</v>
      </c>
      <c r="M26" s="266">
        <v>16</v>
      </c>
      <c r="N26" s="266">
        <v>18</v>
      </c>
      <c r="O26" s="266">
        <v>20</v>
      </c>
      <c r="P26" s="211" t="s">
        <v>28</v>
      </c>
      <c r="Q26" s="222" t="s">
        <v>35</v>
      </c>
      <c r="R26" s="63"/>
      <c r="S26" s="62"/>
      <c r="T26" s="62"/>
      <c r="U26" s="62"/>
      <c r="V26" s="62"/>
      <c r="W26" s="61"/>
      <c r="X26" s="64">
        <f>14.01+10.39</f>
        <v>24.4</v>
      </c>
      <c r="AA26" s="12"/>
    </row>
    <row r="27" spans="1:32" s="64" customFormat="1" ht="20.25" customHeight="1" thickBot="1">
      <c r="B27" s="65"/>
      <c r="C27" s="65"/>
      <c r="D27" s="66"/>
      <c r="E27" s="66"/>
      <c r="F27" s="223"/>
      <c r="G27" s="223"/>
      <c r="H27" s="271"/>
      <c r="I27" s="266"/>
      <c r="J27" s="266">
        <v>10</v>
      </c>
      <c r="K27" s="266"/>
      <c r="L27" s="266"/>
      <c r="M27" s="266"/>
      <c r="N27" s="266"/>
      <c r="O27" s="266"/>
      <c r="P27" s="212"/>
      <c r="Q27" s="223"/>
      <c r="R27" s="65"/>
      <c r="S27" s="65"/>
      <c r="T27" s="65"/>
      <c r="U27" s="65"/>
      <c r="V27" s="65"/>
      <c r="AA27" s="12"/>
    </row>
    <row r="28" spans="1:32" s="64" customFormat="1" ht="23.25" customHeight="1">
      <c r="B28" s="65"/>
      <c r="C28" s="65"/>
      <c r="D28" s="65"/>
      <c r="E28" s="65"/>
      <c r="F28" s="107" t="str">
        <f>+F16</f>
        <v xml:space="preserve">36K8J0045-022-PC </v>
      </c>
      <c r="G28" s="107" t="str">
        <f>+G16</f>
        <v>022 OXFORD GREY HE</v>
      </c>
      <c r="H28" s="68">
        <f>+H16</f>
        <v>4500505877</v>
      </c>
      <c r="I28" s="86">
        <f t="shared" ref="I28:O28" si="11">+I16*$D$16</f>
        <v>120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>+$I$16*K16</f>
        <v>0</v>
      </c>
      <c r="Q28" s="71">
        <f>SUM(I28:O28)</f>
        <v>120</v>
      </c>
      <c r="R28" s="62"/>
      <c r="S28" s="62"/>
      <c r="T28" s="62"/>
      <c r="U28" s="62"/>
      <c r="V28" s="62"/>
      <c r="W28" s="61"/>
      <c r="AA28" s="12"/>
    </row>
    <row r="29" spans="1:32" s="64" customFormat="1" ht="23.25" customHeight="1">
      <c r="B29" s="65"/>
      <c r="C29" s="65"/>
      <c r="D29" s="65"/>
      <c r="E29" s="65"/>
      <c r="F29" s="107" t="str">
        <f>+F28</f>
        <v xml:space="preserve">36K8J0045-022-PC </v>
      </c>
      <c r="G29" s="107" t="str">
        <f>+G28</f>
        <v>022 OXFORD GREY HE</v>
      </c>
      <c r="H29" s="68">
        <f>+H28</f>
        <v>4500505877</v>
      </c>
      <c r="I29" s="86">
        <f t="shared" ref="I29:O29" si="12">+I17*$D$17</f>
        <v>0</v>
      </c>
      <c r="J29" s="86">
        <f t="shared" si="12"/>
        <v>168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69">
        <v>0</v>
      </c>
      <c r="Q29" s="71">
        <f t="shared" ref="Q29:Q34" si="13">SUM(I29:O29)</f>
        <v>168</v>
      </c>
      <c r="R29" s="62"/>
      <c r="S29" s="62"/>
      <c r="T29" s="62"/>
      <c r="U29" s="62"/>
      <c r="V29" s="62"/>
      <c r="W29" s="61"/>
      <c r="AA29" s="12"/>
    </row>
    <row r="30" spans="1:32" s="64" customFormat="1" ht="23.25" customHeight="1">
      <c r="B30" s="65"/>
      <c r="C30" s="65"/>
      <c r="D30" s="65"/>
      <c r="E30" s="65"/>
      <c r="F30" s="107" t="str">
        <f>+F16</f>
        <v xml:space="preserve">36K8J0045-022-PC </v>
      </c>
      <c r="G30" s="107" t="str">
        <f>+G16</f>
        <v>022 OXFORD GREY HE</v>
      </c>
      <c r="H30" s="68">
        <f>+H16</f>
        <v>4500505877</v>
      </c>
      <c r="I30" s="86">
        <f t="shared" ref="I30:O30" si="14">+I18*$D$18</f>
        <v>0</v>
      </c>
      <c r="J30" s="86">
        <f t="shared" si="14"/>
        <v>0</v>
      </c>
      <c r="K30" s="86">
        <f t="shared" si="14"/>
        <v>168</v>
      </c>
      <c r="L30" s="86">
        <f t="shared" si="14"/>
        <v>0</v>
      </c>
      <c r="M30" s="86">
        <f t="shared" si="14"/>
        <v>0</v>
      </c>
      <c r="N30" s="86">
        <f t="shared" si="14"/>
        <v>0</v>
      </c>
      <c r="O30" s="86">
        <f t="shared" si="14"/>
        <v>0</v>
      </c>
      <c r="P30" s="69">
        <v>0</v>
      </c>
      <c r="Q30" s="71">
        <f t="shared" si="13"/>
        <v>168</v>
      </c>
      <c r="R30" s="62"/>
      <c r="S30" s="62"/>
      <c r="T30" s="62"/>
      <c r="U30" s="62"/>
      <c r="V30" s="62"/>
      <c r="W30" s="61"/>
      <c r="AA30" s="12"/>
    </row>
    <row r="31" spans="1:32" s="64" customFormat="1" ht="23.25" customHeight="1">
      <c r="B31" s="65"/>
      <c r="C31" s="65"/>
      <c r="D31" s="65"/>
      <c r="E31" s="65"/>
      <c r="F31" s="107" t="str">
        <f>+F19</f>
        <v xml:space="preserve">36K8J0045-022-PC </v>
      </c>
      <c r="G31" s="107" t="str">
        <f>+G19</f>
        <v>022 OXFORD GREY HE</v>
      </c>
      <c r="H31" s="68">
        <f>+H19</f>
        <v>4500505877</v>
      </c>
      <c r="I31" s="86">
        <f t="shared" ref="I31:O31" si="15">+I19*$D$19</f>
        <v>0</v>
      </c>
      <c r="J31" s="86">
        <f t="shared" si="15"/>
        <v>0</v>
      </c>
      <c r="K31" s="86">
        <f t="shared" si="15"/>
        <v>0</v>
      </c>
      <c r="L31" s="86">
        <f t="shared" si="15"/>
        <v>192</v>
      </c>
      <c r="M31" s="86">
        <f t="shared" si="15"/>
        <v>0</v>
      </c>
      <c r="N31" s="86">
        <f t="shared" si="15"/>
        <v>0</v>
      </c>
      <c r="O31" s="86">
        <f t="shared" si="15"/>
        <v>0</v>
      </c>
      <c r="P31" s="70"/>
      <c r="Q31" s="71">
        <f t="shared" si="13"/>
        <v>192</v>
      </c>
      <c r="R31" s="62"/>
      <c r="S31" s="62"/>
      <c r="T31" s="62"/>
      <c r="U31" s="62"/>
      <c r="V31" s="62"/>
      <c r="W31" s="61"/>
      <c r="AA31" s="12"/>
    </row>
    <row r="32" spans="1:32" s="64" customFormat="1" ht="23.25" customHeight="1">
      <c r="B32" s="65"/>
      <c r="C32" s="65"/>
      <c r="D32" s="65"/>
      <c r="E32" s="65"/>
      <c r="F32" s="107" t="str">
        <f>+F31</f>
        <v xml:space="preserve">36K8J0045-022-PC </v>
      </c>
      <c r="G32" s="107" t="str">
        <f>+G31</f>
        <v>022 OXFORD GREY HE</v>
      </c>
      <c r="H32" s="68">
        <f>+H18</f>
        <v>4500505877</v>
      </c>
      <c r="I32" s="86">
        <f t="shared" ref="I32:O32" si="16">+I20*$D$20</f>
        <v>0</v>
      </c>
      <c r="J32" s="86">
        <f t="shared" si="16"/>
        <v>0</v>
      </c>
      <c r="K32" s="86">
        <f t="shared" si="16"/>
        <v>0</v>
      </c>
      <c r="L32" s="86">
        <f t="shared" si="16"/>
        <v>0</v>
      </c>
      <c r="M32" s="86">
        <f t="shared" si="16"/>
        <v>192</v>
      </c>
      <c r="N32" s="86">
        <f t="shared" si="16"/>
        <v>0</v>
      </c>
      <c r="O32" s="86">
        <f t="shared" si="16"/>
        <v>0</v>
      </c>
      <c r="P32" s="69">
        <v>0</v>
      </c>
      <c r="Q32" s="71">
        <f t="shared" si="13"/>
        <v>192</v>
      </c>
      <c r="R32" s="62"/>
      <c r="S32" s="62"/>
      <c r="T32" s="62"/>
      <c r="U32" s="62"/>
      <c r="V32" s="62"/>
      <c r="W32" s="61"/>
      <c r="AA32" s="12"/>
    </row>
    <row r="33" spans="1:27" s="64" customFormat="1" ht="23.25" customHeight="1">
      <c r="B33" s="65"/>
      <c r="C33" s="65"/>
      <c r="D33" s="65"/>
      <c r="E33" s="65"/>
      <c r="F33" s="107" t="str">
        <f>+F21</f>
        <v xml:space="preserve">36K8J0045-022-PC </v>
      </c>
      <c r="G33" s="107" t="str">
        <f>+G21</f>
        <v>022 OXFORD GREY HE</v>
      </c>
      <c r="H33" s="68">
        <f>+H21</f>
        <v>4500505877</v>
      </c>
      <c r="I33" s="86">
        <f t="shared" ref="I33:O33" si="17">+I21*$D$21</f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6">
        <f t="shared" si="17"/>
        <v>192</v>
      </c>
      <c r="O33" s="86">
        <f t="shared" si="17"/>
        <v>0</v>
      </c>
      <c r="P33" s="70"/>
      <c r="Q33" s="71">
        <f t="shared" si="13"/>
        <v>192</v>
      </c>
      <c r="R33" s="62"/>
      <c r="S33" s="62"/>
      <c r="T33" s="62"/>
      <c r="U33" s="62"/>
      <c r="V33" s="62"/>
      <c r="W33" s="61"/>
      <c r="AA33" s="12"/>
    </row>
    <row r="34" spans="1:27" s="64" customFormat="1" ht="23.25" customHeight="1">
      <c r="B34" s="65"/>
      <c r="C34" s="65"/>
      <c r="D34" s="65"/>
      <c r="E34" s="65"/>
      <c r="F34" s="107" t="str">
        <f>+F33</f>
        <v xml:space="preserve">36K8J0045-022-PC </v>
      </c>
      <c r="G34" s="107" t="str">
        <f>+G33</f>
        <v>022 OXFORD GREY HE</v>
      </c>
      <c r="H34" s="68">
        <f>+H20</f>
        <v>4500505877</v>
      </c>
      <c r="I34" s="86">
        <f t="shared" ref="I34:O34" si="18">+I22*$D$22</f>
        <v>0</v>
      </c>
      <c r="J34" s="86">
        <f t="shared" si="18"/>
        <v>0</v>
      </c>
      <c r="K34" s="86">
        <f t="shared" si="18"/>
        <v>0</v>
      </c>
      <c r="L34" s="86">
        <f t="shared" si="18"/>
        <v>0</v>
      </c>
      <c r="M34" s="86">
        <f t="shared" si="18"/>
        <v>0</v>
      </c>
      <c r="N34" s="86">
        <f t="shared" si="18"/>
        <v>0</v>
      </c>
      <c r="O34" s="86">
        <f t="shared" si="18"/>
        <v>144</v>
      </c>
      <c r="P34" s="69">
        <v>0</v>
      </c>
      <c r="Q34" s="71">
        <f t="shared" si="13"/>
        <v>144</v>
      </c>
      <c r="R34" s="62"/>
      <c r="S34" s="62"/>
      <c r="T34" s="62"/>
      <c r="U34" s="62"/>
      <c r="V34" s="62"/>
      <c r="W34" s="61"/>
      <c r="AA34" s="12"/>
    </row>
    <row r="35" spans="1:27" s="64" customFormat="1" ht="19.5" customHeight="1">
      <c r="A35" s="62"/>
      <c r="B35" s="62"/>
      <c r="C35" s="62"/>
      <c r="D35" s="62"/>
      <c r="E35" s="62"/>
      <c r="F35" s="62"/>
      <c r="G35" s="72" t="s">
        <v>33</v>
      </c>
      <c r="H35" s="68"/>
      <c r="I35" s="71">
        <f>SUM(I28:I34)</f>
        <v>120</v>
      </c>
      <c r="J35" s="71">
        <f t="shared" ref="J35:O35" si="19">SUM(J28:J34)</f>
        <v>168</v>
      </c>
      <c r="K35" s="71">
        <f t="shared" si="19"/>
        <v>168</v>
      </c>
      <c r="L35" s="71">
        <f t="shared" si="19"/>
        <v>192</v>
      </c>
      <c r="M35" s="71">
        <f t="shared" si="19"/>
        <v>192</v>
      </c>
      <c r="N35" s="71">
        <f t="shared" si="19"/>
        <v>192</v>
      </c>
      <c r="O35" s="71">
        <f t="shared" si="19"/>
        <v>144</v>
      </c>
      <c r="P35" s="71"/>
      <c r="Q35" s="71">
        <f>SUM(I35:P35)</f>
        <v>1176</v>
      </c>
      <c r="R35" s="62"/>
      <c r="S35" s="63"/>
      <c r="T35" s="62"/>
      <c r="U35" s="62"/>
      <c r="V35" s="62"/>
      <c r="W35" s="61"/>
    </row>
    <row r="36" spans="1:27">
      <c r="V36" s="74"/>
    </row>
    <row r="37" spans="1:27">
      <c r="G37" s="108" t="s">
        <v>0</v>
      </c>
    </row>
    <row r="39" spans="1:27">
      <c r="R39" s="75"/>
      <c r="S39" s="76"/>
      <c r="T39" s="76"/>
      <c r="U39" s="76"/>
    </row>
    <row r="40" spans="1:27">
      <c r="R40" s="76"/>
      <c r="S40" s="76"/>
      <c r="T40" s="76"/>
      <c r="U40" s="76"/>
    </row>
    <row r="41" spans="1:27">
      <c r="R41" s="76"/>
      <c r="S41" s="76"/>
      <c r="T41" s="76"/>
      <c r="U41" s="76"/>
    </row>
    <row r="42" spans="1:27">
      <c r="G42" s="77"/>
      <c r="R42" s="76"/>
      <c r="S42" s="76"/>
      <c r="T42" s="76"/>
      <c r="U42" s="76"/>
    </row>
    <row r="43" spans="1:27">
      <c r="G43" s="78"/>
      <c r="R43" s="76"/>
      <c r="S43" s="76"/>
      <c r="T43" s="76"/>
      <c r="U43" s="76"/>
    </row>
    <row r="44" spans="1:27">
      <c r="G44" s="77"/>
      <c r="H44" s="77"/>
      <c r="S44" s="76"/>
      <c r="T44" s="76"/>
      <c r="U44" s="76"/>
    </row>
  </sheetData>
  <autoFilter ref="A15:DC20">
    <filterColumn colId="0" showButton="0"/>
    <filterColumn colId="1" showButton="0"/>
  </autoFilter>
  <mergeCells count="41">
    <mergeCell ref="G13:G15"/>
    <mergeCell ref="A1:Z1"/>
    <mergeCell ref="A2:Z2"/>
    <mergeCell ref="A3:Z3"/>
    <mergeCell ref="A4:Z4"/>
    <mergeCell ref="A6:Z6"/>
    <mergeCell ref="D10:F10"/>
    <mergeCell ref="C12:D12"/>
    <mergeCell ref="A13:C15"/>
    <mergeCell ref="D13:D15"/>
    <mergeCell ref="E13:E15"/>
    <mergeCell ref="F13:F15"/>
    <mergeCell ref="H13:H15"/>
    <mergeCell ref="I13:P13"/>
    <mergeCell ref="Q13:Q15"/>
    <mergeCell ref="R13:R15"/>
    <mergeCell ref="W13:W15"/>
    <mergeCell ref="J26:J27"/>
    <mergeCell ref="AA13:AA15"/>
    <mergeCell ref="AB13:AB15"/>
    <mergeCell ref="I14:I15"/>
    <mergeCell ref="J14:J15"/>
    <mergeCell ref="K14:K15"/>
    <mergeCell ref="L14:L15"/>
    <mergeCell ref="M14:M15"/>
    <mergeCell ref="N14:N15"/>
    <mergeCell ref="O14:O15"/>
    <mergeCell ref="P14:P15"/>
    <mergeCell ref="X13:Z14"/>
    <mergeCell ref="Q26:Q27"/>
    <mergeCell ref="K26:K27"/>
    <mergeCell ref="L26:L27"/>
    <mergeCell ref="M26:M27"/>
    <mergeCell ref="N26:N27"/>
    <mergeCell ref="O26:O27"/>
    <mergeCell ref="P26:P27"/>
    <mergeCell ref="A23:C23"/>
    <mergeCell ref="F26:F27"/>
    <mergeCell ref="G26:G27"/>
    <mergeCell ref="H26:H27"/>
    <mergeCell ref="I26:I27"/>
  </mergeCells>
  <printOptions horizontalCentered="1"/>
  <pageMargins left="0" right="0" top="0" bottom="0" header="0" footer="0"/>
  <pageSetup scale="4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2" sqref="C2:C15"/>
    </sheetView>
  </sheetViews>
  <sheetFormatPr defaultRowHeight="15"/>
  <cols>
    <col min="1" max="1" width="15.7109375" bestFit="1" customWidth="1"/>
    <col min="2" max="2" width="25.140625" bestFit="1" customWidth="1"/>
    <col min="3" max="3" width="13.5703125" customWidth="1"/>
    <col min="4" max="4" width="18.42578125" customWidth="1"/>
    <col min="5" max="7" width="9.140625" customWidth="1"/>
  </cols>
  <sheetData>
    <row r="1" spans="1:7" ht="29.25" thickBot="1">
      <c r="A1" s="100" t="s">
        <v>107</v>
      </c>
      <c r="B1" s="100" t="s">
        <v>108</v>
      </c>
      <c r="C1" s="100" t="s">
        <v>109</v>
      </c>
      <c r="D1" s="100" t="s">
        <v>112</v>
      </c>
      <c r="E1" s="95" t="s">
        <v>110</v>
      </c>
      <c r="F1" s="96" t="s">
        <v>111</v>
      </c>
    </row>
    <row r="2" spans="1:7">
      <c r="A2" s="101">
        <v>4500457200</v>
      </c>
      <c r="B2" s="101" t="s">
        <v>50</v>
      </c>
      <c r="C2" s="101">
        <v>264</v>
      </c>
      <c r="D2" s="101">
        <f>+C2/12</f>
        <v>22</v>
      </c>
      <c r="E2" s="97">
        <v>0.89</v>
      </c>
      <c r="F2" s="97">
        <v>128</v>
      </c>
      <c r="G2">
        <f>+F2/C2</f>
        <v>0.48484848484848486</v>
      </c>
    </row>
    <row r="3" spans="1:7">
      <c r="A3" s="101">
        <v>4500457200</v>
      </c>
      <c r="B3" s="101" t="s">
        <v>50</v>
      </c>
      <c r="C3" s="101">
        <v>264</v>
      </c>
      <c r="D3" s="101">
        <f t="shared" ref="D3:D15" si="0">+C3/12</f>
        <v>22</v>
      </c>
      <c r="E3" s="97">
        <v>1.2</v>
      </c>
      <c r="F3" s="97">
        <v>128</v>
      </c>
      <c r="G3">
        <f t="shared" ref="G3:G8" si="1">+F3/C3</f>
        <v>0.48484848484848486</v>
      </c>
    </row>
    <row r="4" spans="1:7">
      <c r="A4" s="101">
        <v>4500457200</v>
      </c>
      <c r="B4" s="101" t="s">
        <v>50</v>
      </c>
      <c r="C4" s="101">
        <v>288</v>
      </c>
      <c r="D4" s="101">
        <f t="shared" si="0"/>
        <v>24</v>
      </c>
      <c r="E4" s="97">
        <v>1.1299999999999999</v>
      </c>
      <c r="F4" s="97">
        <v>140</v>
      </c>
      <c r="G4">
        <f t="shared" si="1"/>
        <v>0.4861111111111111</v>
      </c>
    </row>
    <row r="5" spans="1:7">
      <c r="A5" s="101">
        <v>4500457200</v>
      </c>
      <c r="B5" s="101" t="s">
        <v>50</v>
      </c>
      <c r="C5" s="101">
        <v>288</v>
      </c>
      <c r="D5" s="101">
        <f t="shared" si="0"/>
        <v>24</v>
      </c>
      <c r="E5" s="97">
        <v>1.31</v>
      </c>
      <c r="F5" s="97">
        <v>140</v>
      </c>
      <c r="G5">
        <f t="shared" si="1"/>
        <v>0.4861111111111111</v>
      </c>
    </row>
    <row r="6" spans="1:7">
      <c r="A6" s="101">
        <v>4500457200</v>
      </c>
      <c r="B6" s="101" t="s">
        <v>50</v>
      </c>
      <c r="C6" s="101">
        <v>312</v>
      </c>
      <c r="D6" s="101">
        <f t="shared" si="0"/>
        <v>26</v>
      </c>
      <c r="E6" s="97">
        <v>1.23</v>
      </c>
      <c r="F6" s="97">
        <v>151</v>
      </c>
      <c r="G6">
        <f t="shared" si="1"/>
        <v>0.48397435897435898</v>
      </c>
    </row>
    <row r="7" spans="1:7">
      <c r="A7" s="101">
        <v>4500457200</v>
      </c>
      <c r="B7" s="101" t="s">
        <v>50</v>
      </c>
      <c r="C7" s="101">
        <v>336</v>
      </c>
      <c r="D7" s="101">
        <f t="shared" si="0"/>
        <v>28</v>
      </c>
      <c r="E7" s="97">
        <v>1.32</v>
      </c>
      <c r="F7" s="97">
        <v>163</v>
      </c>
      <c r="G7">
        <f t="shared" si="1"/>
        <v>0.48511904761904762</v>
      </c>
    </row>
    <row r="8" spans="1:7">
      <c r="A8" s="101">
        <v>4500457200</v>
      </c>
      <c r="B8" s="101" t="s">
        <v>50</v>
      </c>
      <c r="C8" s="101">
        <v>384</v>
      </c>
      <c r="D8" s="101">
        <f t="shared" si="0"/>
        <v>32</v>
      </c>
      <c r="E8" s="97">
        <v>1.29</v>
      </c>
      <c r="F8" s="97">
        <v>156</v>
      </c>
      <c r="G8">
        <f t="shared" si="1"/>
        <v>0.40625</v>
      </c>
    </row>
    <row r="9" spans="1:7">
      <c r="A9" s="101">
        <v>4500457200</v>
      </c>
      <c r="B9" s="101" t="s">
        <v>44</v>
      </c>
      <c r="C9" s="101">
        <v>540</v>
      </c>
      <c r="D9" s="101">
        <f t="shared" si="0"/>
        <v>45</v>
      </c>
      <c r="E9" s="97">
        <v>1.31</v>
      </c>
      <c r="F9" s="97">
        <v>140</v>
      </c>
      <c r="G9" s="98">
        <f>+F9/C9</f>
        <v>0.25925925925925924</v>
      </c>
    </row>
    <row r="10" spans="1:7">
      <c r="A10" s="101">
        <v>4500457200</v>
      </c>
      <c r="B10" s="101" t="s">
        <v>44</v>
      </c>
      <c r="C10" s="101">
        <v>492</v>
      </c>
      <c r="D10" s="101">
        <f t="shared" si="0"/>
        <v>41</v>
      </c>
      <c r="E10" s="97">
        <v>1.32</v>
      </c>
      <c r="F10" s="97">
        <v>163</v>
      </c>
      <c r="G10" s="98">
        <f t="shared" ref="G10:G15" si="2">+F10/C10</f>
        <v>0.33130081300813008</v>
      </c>
    </row>
    <row r="11" spans="1:7">
      <c r="A11" s="101">
        <v>4500457200</v>
      </c>
      <c r="B11" s="101" t="s">
        <v>44</v>
      </c>
      <c r="C11" s="101">
        <v>408</v>
      </c>
      <c r="D11" s="101">
        <f t="shared" si="0"/>
        <v>34</v>
      </c>
      <c r="E11" s="97">
        <v>1.42</v>
      </c>
      <c r="F11" s="97">
        <v>174</v>
      </c>
      <c r="G11" s="98">
        <f t="shared" si="2"/>
        <v>0.4264705882352941</v>
      </c>
    </row>
    <row r="12" spans="1:7">
      <c r="A12" s="101">
        <v>4500457200</v>
      </c>
      <c r="B12" s="101" t="s">
        <v>44</v>
      </c>
      <c r="C12" s="101">
        <v>336</v>
      </c>
      <c r="D12" s="101">
        <f t="shared" si="0"/>
        <v>28</v>
      </c>
      <c r="E12" s="97">
        <v>1.7</v>
      </c>
      <c r="F12" s="97">
        <v>210</v>
      </c>
      <c r="G12" s="98">
        <f t="shared" si="2"/>
        <v>0.625</v>
      </c>
    </row>
    <row r="13" spans="1:7">
      <c r="A13" s="101">
        <v>4500457200</v>
      </c>
      <c r="B13" s="101" t="s">
        <v>44</v>
      </c>
      <c r="C13" s="101">
        <v>312</v>
      </c>
      <c r="D13" s="101">
        <f t="shared" si="0"/>
        <v>26</v>
      </c>
      <c r="E13" s="97">
        <v>2.1800000000000002</v>
      </c>
      <c r="F13" s="97">
        <v>232</v>
      </c>
      <c r="G13" s="98">
        <f t="shared" si="2"/>
        <v>0.74358974358974361</v>
      </c>
    </row>
    <row r="14" spans="1:7">
      <c r="A14" s="101">
        <v>4500457200</v>
      </c>
      <c r="B14" s="101" t="s">
        <v>44</v>
      </c>
      <c r="C14" s="101">
        <v>276</v>
      </c>
      <c r="D14" s="101">
        <f t="shared" si="0"/>
        <v>23</v>
      </c>
      <c r="E14" s="97">
        <v>1.78</v>
      </c>
      <c r="F14" s="97">
        <v>255</v>
      </c>
      <c r="G14" s="98">
        <f t="shared" si="2"/>
        <v>0.92391304347826086</v>
      </c>
    </row>
    <row r="15" spans="1:7">
      <c r="A15" s="101">
        <v>4500457200</v>
      </c>
      <c r="B15" s="101" t="s">
        <v>44</v>
      </c>
      <c r="C15" s="101">
        <v>444</v>
      </c>
      <c r="D15" s="101">
        <f t="shared" si="0"/>
        <v>37</v>
      </c>
      <c r="E15" s="97">
        <v>1.94</v>
      </c>
      <c r="F15" s="97">
        <v>279</v>
      </c>
      <c r="G15" s="98">
        <f t="shared" si="2"/>
        <v>0.6283783783783784</v>
      </c>
    </row>
    <row r="16" spans="1:7">
      <c r="A16" s="102"/>
      <c r="B16" s="102"/>
      <c r="C16" s="103">
        <f>SUM(C2:C15)</f>
        <v>4944</v>
      </c>
      <c r="D16" s="104">
        <f>SUM(D2:D15)</f>
        <v>412</v>
      </c>
    </row>
  </sheetData>
  <pageMargins left="0.7" right="0.7" top="0.75" bottom="0.75" header="0.3" footer="0.3"/>
  <pageSetup paperSize="9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44"/>
  <sheetViews>
    <sheetView view="pageBreakPreview" zoomScale="73" zoomScaleNormal="85" zoomScaleSheetLayoutView="73" workbookViewId="0">
      <pane xSplit="8" ySplit="15" topLeftCell="N16" activePane="bottomRight" state="frozen"/>
      <selection pane="topRight" activeCell="H1" sqref="H1"/>
      <selection pane="bottomLeft" activeCell="A13" sqref="A13"/>
      <selection pane="bottomRight" activeCell="X15" sqref="X15"/>
    </sheetView>
  </sheetViews>
  <sheetFormatPr defaultRowHeight="16.5"/>
  <cols>
    <col min="1" max="1" width="5.7109375" style="73" customWidth="1"/>
    <col min="2" max="2" width="2.140625" style="73" customWidth="1"/>
    <col min="3" max="3" width="5.5703125" style="73" customWidth="1"/>
    <col min="4" max="4" width="14.28515625" style="73" customWidth="1"/>
    <col min="5" max="5" width="31.140625" style="73" customWidth="1"/>
    <col min="6" max="6" width="25.28515625" style="73" customWidth="1"/>
    <col min="7" max="7" width="17.140625" style="73" customWidth="1"/>
    <col min="8" max="8" width="12.85546875" style="73" customWidth="1"/>
    <col min="9" max="10" width="8.28515625" style="73" customWidth="1"/>
    <col min="11" max="12" width="8.42578125" style="73" customWidth="1"/>
    <col min="13" max="15" width="8.28515625" style="73" customWidth="1"/>
    <col min="16" max="16" width="8.28515625" style="73" hidden="1" customWidth="1"/>
    <col min="17" max="17" width="8.5703125" style="73" hidden="1" customWidth="1"/>
    <col min="18" max="18" width="9.140625" style="73" hidden="1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10.7109375" style="73" customWidth="1"/>
    <col min="24" max="24" width="12" style="73" customWidth="1"/>
    <col min="25" max="25" width="8.85546875" style="73" hidden="1" customWidth="1"/>
    <col min="26" max="26" width="15.5703125" style="73" customWidth="1"/>
    <col min="27" max="28" width="11.28515625" style="73" customWidth="1"/>
    <col min="29" max="29" width="9.140625" style="73" customWidth="1"/>
    <col min="30" max="30" width="22.7109375" style="73" customWidth="1"/>
    <col min="31" max="257" width="9.140625" style="73"/>
    <col min="258" max="258" width="6.85546875" style="73" customWidth="1"/>
    <col min="259" max="259" width="2.140625" style="73" customWidth="1"/>
    <col min="260" max="260" width="6.140625" style="73" customWidth="1"/>
    <col min="261" max="261" width="8.85546875" style="73" customWidth="1"/>
    <col min="262" max="262" width="28.42578125" style="73" customWidth="1"/>
    <col min="263" max="263" width="13.85546875" style="73" customWidth="1"/>
    <col min="264" max="264" width="8.42578125" style="73" customWidth="1"/>
    <col min="265" max="268" width="0" style="73" hidden="1" customWidth="1"/>
    <col min="269" max="269" width="5.28515625" style="73" customWidth="1"/>
    <col min="270" max="270" width="5.5703125" style="73" customWidth="1"/>
    <col min="271" max="271" width="6" style="73" customWidth="1"/>
    <col min="272" max="272" width="5.5703125" style="73" customWidth="1"/>
    <col min="273" max="274" width="5.7109375" style="73" customWidth="1"/>
    <col min="275" max="275" width="9.85546875" style="73" customWidth="1"/>
    <col min="276" max="276" width="9.7109375" style="73" customWidth="1"/>
    <col min="277" max="277" width="8.85546875" style="73" customWidth="1"/>
    <col min="278" max="278" width="10" style="73" customWidth="1"/>
    <col min="279" max="279" width="8.28515625" style="73" customWidth="1"/>
    <col min="280" max="280" width="9.5703125" style="73" customWidth="1"/>
    <col min="281" max="281" width="15.5703125" style="73" customWidth="1"/>
    <col min="282" max="513" width="9.140625" style="73"/>
    <col min="514" max="514" width="6.85546875" style="73" customWidth="1"/>
    <col min="515" max="515" width="2.140625" style="73" customWidth="1"/>
    <col min="516" max="516" width="6.140625" style="73" customWidth="1"/>
    <col min="517" max="517" width="8.85546875" style="73" customWidth="1"/>
    <col min="518" max="518" width="28.42578125" style="73" customWidth="1"/>
    <col min="519" max="519" width="13.85546875" style="73" customWidth="1"/>
    <col min="520" max="520" width="8.42578125" style="73" customWidth="1"/>
    <col min="521" max="524" width="0" style="73" hidden="1" customWidth="1"/>
    <col min="525" max="525" width="5.28515625" style="73" customWidth="1"/>
    <col min="526" max="526" width="5.5703125" style="73" customWidth="1"/>
    <col min="527" max="527" width="6" style="73" customWidth="1"/>
    <col min="528" max="528" width="5.5703125" style="73" customWidth="1"/>
    <col min="529" max="530" width="5.7109375" style="73" customWidth="1"/>
    <col min="531" max="531" width="9.85546875" style="73" customWidth="1"/>
    <col min="532" max="532" width="9.7109375" style="73" customWidth="1"/>
    <col min="533" max="533" width="8.85546875" style="73" customWidth="1"/>
    <col min="534" max="534" width="10" style="73" customWidth="1"/>
    <col min="535" max="535" width="8.28515625" style="73" customWidth="1"/>
    <col min="536" max="536" width="9.5703125" style="73" customWidth="1"/>
    <col min="537" max="537" width="15.5703125" style="73" customWidth="1"/>
    <col min="538" max="769" width="9.140625" style="73"/>
    <col min="770" max="770" width="6.85546875" style="73" customWidth="1"/>
    <col min="771" max="771" width="2.140625" style="73" customWidth="1"/>
    <col min="772" max="772" width="6.140625" style="73" customWidth="1"/>
    <col min="773" max="773" width="8.85546875" style="73" customWidth="1"/>
    <col min="774" max="774" width="28.42578125" style="73" customWidth="1"/>
    <col min="775" max="775" width="13.85546875" style="73" customWidth="1"/>
    <col min="776" max="776" width="8.42578125" style="73" customWidth="1"/>
    <col min="777" max="780" width="0" style="73" hidden="1" customWidth="1"/>
    <col min="781" max="781" width="5.28515625" style="73" customWidth="1"/>
    <col min="782" max="782" width="5.5703125" style="73" customWidth="1"/>
    <col min="783" max="783" width="6" style="73" customWidth="1"/>
    <col min="784" max="784" width="5.5703125" style="73" customWidth="1"/>
    <col min="785" max="786" width="5.7109375" style="73" customWidth="1"/>
    <col min="787" max="787" width="9.85546875" style="73" customWidth="1"/>
    <col min="788" max="788" width="9.7109375" style="73" customWidth="1"/>
    <col min="789" max="789" width="8.85546875" style="73" customWidth="1"/>
    <col min="790" max="790" width="10" style="73" customWidth="1"/>
    <col min="791" max="791" width="8.28515625" style="73" customWidth="1"/>
    <col min="792" max="792" width="9.5703125" style="73" customWidth="1"/>
    <col min="793" max="793" width="15.5703125" style="73" customWidth="1"/>
    <col min="794" max="1025" width="9.140625" style="73"/>
    <col min="1026" max="1026" width="6.85546875" style="73" customWidth="1"/>
    <col min="1027" max="1027" width="2.140625" style="73" customWidth="1"/>
    <col min="1028" max="1028" width="6.140625" style="73" customWidth="1"/>
    <col min="1029" max="1029" width="8.85546875" style="73" customWidth="1"/>
    <col min="1030" max="1030" width="28.42578125" style="73" customWidth="1"/>
    <col min="1031" max="1031" width="13.85546875" style="73" customWidth="1"/>
    <col min="1032" max="1032" width="8.42578125" style="73" customWidth="1"/>
    <col min="1033" max="1036" width="0" style="73" hidden="1" customWidth="1"/>
    <col min="1037" max="1037" width="5.28515625" style="73" customWidth="1"/>
    <col min="1038" max="1038" width="5.5703125" style="73" customWidth="1"/>
    <col min="1039" max="1039" width="6" style="73" customWidth="1"/>
    <col min="1040" max="1040" width="5.5703125" style="73" customWidth="1"/>
    <col min="1041" max="1042" width="5.7109375" style="73" customWidth="1"/>
    <col min="1043" max="1043" width="9.85546875" style="73" customWidth="1"/>
    <col min="1044" max="1044" width="9.7109375" style="73" customWidth="1"/>
    <col min="1045" max="1045" width="8.85546875" style="73" customWidth="1"/>
    <col min="1046" max="1046" width="10" style="73" customWidth="1"/>
    <col min="1047" max="1047" width="8.28515625" style="73" customWidth="1"/>
    <col min="1048" max="1048" width="9.5703125" style="73" customWidth="1"/>
    <col min="1049" max="1049" width="15.5703125" style="73" customWidth="1"/>
    <col min="1050" max="1281" width="9.140625" style="73"/>
    <col min="1282" max="1282" width="6.85546875" style="73" customWidth="1"/>
    <col min="1283" max="1283" width="2.140625" style="73" customWidth="1"/>
    <col min="1284" max="1284" width="6.140625" style="73" customWidth="1"/>
    <col min="1285" max="1285" width="8.85546875" style="73" customWidth="1"/>
    <col min="1286" max="1286" width="28.42578125" style="73" customWidth="1"/>
    <col min="1287" max="1287" width="13.85546875" style="73" customWidth="1"/>
    <col min="1288" max="1288" width="8.42578125" style="73" customWidth="1"/>
    <col min="1289" max="1292" width="0" style="73" hidden="1" customWidth="1"/>
    <col min="1293" max="1293" width="5.28515625" style="73" customWidth="1"/>
    <col min="1294" max="1294" width="5.5703125" style="73" customWidth="1"/>
    <col min="1295" max="1295" width="6" style="73" customWidth="1"/>
    <col min="1296" max="1296" width="5.5703125" style="73" customWidth="1"/>
    <col min="1297" max="1298" width="5.7109375" style="73" customWidth="1"/>
    <col min="1299" max="1299" width="9.85546875" style="73" customWidth="1"/>
    <col min="1300" max="1300" width="9.7109375" style="73" customWidth="1"/>
    <col min="1301" max="1301" width="8.85546875" style="73" customWidth="1"/>
    <col min="1302" max="1302" width="10" style="73" customWidth="1"/>
    <col min="1303" max="1303" width="8.28515625" style="73" customWidth="1"/>
    <col min="1304" max="1304" width="9.5703125" style="73" customWidth="1"/>
    <col min="1305" max="1305" width="15.5703125" style="73" customWidth="1"/>
    <col min="1306" max="1537" width="9.140625" style="73"/>
    <col min="1538" max="1538" width="6.85546875" style="73" customWidth="1"/>
    <col min="1539" max="1539" width="2.140625" style="73" customWidth="1"/>
    <col min="1540" max="1540" width="6.140625" style="73" customWidth="1"/>
    <col min="1541" max="1541" width="8.85546875" style="73" customWidth="1"/>
    <col min="1542" max="1542" width="28.42578125" style="73" customWidth="1"/>
    <col min="1543" max="1543" width="13.85546875" style="73" customWidth="1"/>
    <col min="1544" max="1544" width="8.42578125" style="73" customWidth="1"/>
    <col min="1545" max="1548" width="0" style="73" hidden="1" customWidth="1"/>
    <col min="1549" max="1549" width="5.28515625" style="73" customWidth="1"/>
    <col min="1550" max="1550" width="5.5703125" style="73" customWidth="1"/>
    <col min="1551" max="1551" width="6" style="73" customWidth="1"/>
    <col min="1552" max="1552" width="5.5703125" style="73" customWidth="1"/>
    <col min="1553" max="1554" width="5.7109375" style="73" customWidth="1"/>
    <col min="1555" max="1555" width="9.85546875" style="73" customWidth="1"/>
    <col min="1556" max="1556" width="9.7109375" style="73" customWidth="1"/>
    <col min="1557" max="1557" width="8.85546875" style="73" customWidth="1"/>
    <col min="1558" max="1558" width="10" style="73" customWidth="1"/>
    <col min="1559" max="1559" width="8.28515625" style="73" customWidth="1"/>
    <col min="1560" max="1560" width="9.5703125" style="73" customWidth="1"/>
    <col min="1561" max="1561" width="15.5703125" style="73" customWidth="1"/>
    <col min="1562" max="1793" width="9.140625" style="73"/>
    <col min="1794" max="1794" width="6.85546875" style="73" customWidth="1"/>
    <col min="1795" max="1795" width="2.140625" style="73" customWidth="1"/>
    <col min="1796" max="1796" width="6.140625" style="73" customWidth="1"/>
    <col min="1797" max="1797" width="8.85546875" style="73" customWidth="1"/>
    <col min="1798" max="1798" width="28.42578125" style="73" customWidth="1"/>
    <col min="1799" max="1799" width="13.85546875" style="73" customWidth="1"/>
    <col min="1800" max="1800" width="8.42578125" style="73" customWidth="1"/>
    <col min="1801" max="1804" width="0" style="73" hidden="1" customWidth="1"/>
    <col min="1805" max="1805" width="5.28515625" style="73" customWidth="1"/>
    <col min="1806" max="1806" width="5.5703125" style="73" customWidth="1"/>
    <col min="1807" max="1807" width="6" style="73" customWidth="1"/>
    <col min="1808" max="1808" width="5.5703125" style="73" customWidth="1"/>
    <col min="1809" max="1810" width="5.7109375" style="73" customWidth="1"/>
    <col min="1811" max="1811" width="9.85546875" style="73" customWidth="1"/>
    <col min="1812" max="1812" width="9.7109375" style="73" customWidth="1"/>
    <col min="1813" max="1813" width="8.85546875" style="73" customWidth="1"/>
    <col min="1814" max="1814" width="10" style="73" customWidth="1"/>
    <col min="1815" max="1815" width="8.28515625" style="73" customWidth="1"/>
    <col min="1816" max="1816" width="9.5703125" style="73" customWidth="1"/>
    <col min="1817" max="1817" width="15.5703125" style="73" customWidth="1"/>
    <col min="1818" max="2049" width="9.140625" style="73"/>
    <col min="2050" max="2050" width="6.85546875" style="73" customWidth="1"/>
    <col min="2051" max="2051" width="2.140625" style="73" customWidth="1"/>
    <col min="2052" max="2052" width="6.140625" style="73" customWidth="1"/>
    <col min="2053" max="2053" width="8.85546875" style="73" customWidth="1"/>
    <col min="2054" max="2054" width="28.42578125" style="73" customWidth="1"/>
    <col min="2055" max="2055" width="13.85546875" style="73" customWidth="1"/>
    <col min="2056" max="2056" width="8.42578125" style="73" customWidth="1"/>
    <col min="2057" max="2060" width="0" style="73" hidden="1" customWidth="1"/>
    <col min="2061" max="2061" width="5.28515625" style="73" customWidth="1"/>
    <col min="2062" max="2062" width="5.5703125" style="73" customWidth="1"/>
    <col min="2063" max="2063" width="6" style="73" customWidth="1"/>
    <col min="2064" max="2064" width="5.5703125" style="73" customWidth="1"/>
    <col min="2065" max="2066" width="5.7109375" style="73" customWidth="1"/>
    <col min="2067" max="2067" width="9.85546875" style="73" customWidth="1"/>
    <col min="2068" max="2068" width="9.7109375" style="73" customWidth="1"/>
    <col min="2069" max="2069" width="8.85546875" style="73" customWidth="1"/>
    <col min="2070" max="2070" width="10" style="73" customWidth="1"/>
    <col min="2071" max="2071" width="8.28515625" style="73" customWidth="1"/>
    <col min="2072" max="2072" width="9.5703125" style="73" customWidth="1"/>
    <col min="2073" max="2073" width="15.5703125" style="73" customWidth="1"/>
    <col min="2074" max="2305" width="9.140625" style="73"/>
    <col min="2306" max="2306" width="6.85546875" style="73" customWidth="1"/>
    <col min="2307" max="2307" width="2.140625" style="73" customWidth="1"/>
    <col min="2308" max="2308" width="6.140625" style="73" customWidth="1"/>
    <col min="2309" max="2309" width="8.85546875" style="73" customWidth="1"/>
    <col min="2310" max="2310" width="28.42578125" style="73" customWidth="1"/>
    <col min="2311" max="2311" width="13.85546875" style="73" customWidth="1"/>
    <col min="2312" max="2312" width="8.42578125" style="73" customWidth="1"/>
    <col min="2313" max="2316" width="0" style="73" hidden="1" customWidth="1"/>
    <col min="2317" max="2317" width="5.28515625" style="73" customWidth="1"/>
    <col min="2318" max="2318" width="5.5703125" style="73" customWidth="1"/>
    <col min="2319" max="2319" width="6" style="73" customWidth="1"/>
    <col min="2320" max="2320" width="5.5703125" style="73" customWidth="1"/>
    <col min="2321" max="2322" width="5.7109375" style="73" customWidth="1"/>
    <col min="2323" max="2323" width="9.85546875" style="73" customWidth="1"/>
    <col min="2324" max="2324" width="9.7109375" style="73" customWidth="1"/>
    <col min="2325" max="2325" width="8.85546875" style="73" customWidth="1"/>
    <col min="2326" max="2326" width="10" style="73" customWidth="1"/>
    <col min="2327" max="2327" width="8.28515625" style="73" customWidth="1"/>
    <col min="2328" max="2328" width="9.5703125" style="73" customWidth="1"/>
    <col min="2329" max="2329" width="15.5703125" style="73" customWidth="1"/>
    <col min="2330" max="2561" width="9.140625" style="73"/>
    <col min="2562" max="2562" width="6.85546875" style="73" customWidth="1"/>
    <col min="2563" max="2563" width="2.140625" style="73" customWidth="1"/>
    <col min="2564" max="2564" width="6.140625" style="73" customWidth="1"/>
    <col min="2565" max="2565" width="8.85546875" style="73" customWidth="1"/>
    <col min="2566" max="2566" width="28.42578125" style="73" customWidth="1"/>
    <col min="2567" max="2567" width="13.85546875" style="73" customWidth="1"/>
    <col min="2568" max="2568" width="8.42578125" style="73" customWidth="1"/>
    <col min="2569" max="2572" width="0" style="73" hidden="1" customWidth="1"/>
    <col min="2573" max="2573" width="5.28515625" style="73" customWidth="1"/>
    <col min="2574" max="2574" width="5.5703125" style="73" customWidth="1"/>
    <col min="2575" max="2575" width="6" style="73" customWidth="1"/>
    <col min="2576" max="2576" width="5.5703125" style="73" customWidth="1"/>
    <col min="2577" max="2578" width="5.7109375" style="73" customWidth="1"/>
    <col min="2579" max="2579" width="9.85546875" style="73" customWidth="1"/>
    <col min="2580" max="2580" width="9.7109375" style="73" customWidth="1"/>
    <col min="2581" max="2581" width="8.85546875" style="73" customWidth="1"/>
    <col min="2582" max="2582" width="10" style="73" customWidth="1"/>
    <col min="2583" max="2583" width="8.28515625" style="73" customWidth="1"/>
    <col min="2584" max="2584" width="9.5703125" style="73" customWidth="1"/>
    <col min="2585" max="2585" width="15.5703125" style="73" customWidth="1"/>
    <col min="2586" max="2817" width="9.140625" style="73"/>
    <col min="2818" max="2818" width="6.85546875" style="73" customWidth="1"/>
    <col min="2819" max="2819" width="2.140625" style="73" customWidth="1"/>
    <col min="2820" max="2820" width="6.140625" style="73" customWidth="1"/>
    <col min="2821" max="2821" width="8.85546875" style="73" customWidth="1"/>
    <col min="2822" max="2822" width="28.42578125" style="73" customWidth="1"/>
    <col min="2823" max="2823" width="13.85546875" style="73" customWidth="1"/>
    <col min="2824" max="2824" width="8.42578125" style="73" customWidth="1"/>
    <col min="2825" max="2828" width="0" style="73" hidden="1" customWidth="1"/>
    <col min="2829" max="2829" width="5.28515625" style="73" customWidth="1"/>
    <col min="2830" max="2830" width="5.5703125" style="73" customWidth="1"/>
    <col min="2831" max="2831" width="6" style="73" customWidth="1"/>
    <col min="2832" max="2832" width="5.5703125" style="73" customWidth="1"/>
    <col min="2833" max="2834" width="5.7109375" style="73" customWidth="1"/>
    <col min="2835" max="2835" width="9.85546875" style="73" customWidth="1"/>
    <col min="2836" max="2836" width="9.7109375" style="73" customWidth="1"/>
    <col min="2837" max="2837" width="8.85546875" style="73" customWidth="1"/>
    <col min="2838" max="2838" width="10" style="73" customWidth="1"/>
    <col min="2839" max="2839" width="8.28515625" style="73" customWidth="1"/>
    <col min="2840" max="2840" width="9.5703125" style="73" customWidth="1"/>
    <col min="2841" max="2841" width="15.5703125" style="73" customWidth="1"/>
    <col min="2842" max="3073" width="9.140625" style="73"/>
    <col min="3074" max="3074" width="6.85546875" style="73" customWidth="1"/>
    <col min="3075" max="3075" width="2.140625" style="73" customWidth="1"/>
    <col min="3076" max="3076" width="6.140625" style="73" customWidth="1"/>
    <col min="3077" max="3077" width="8.85546875" style="73" customWidth="1"/>
    <col min="3078" max="3078" width="28.42578125" style="73" customWidth="1"/>
    <col min="3079" max="3079" width="13.85546875" style="73" customWidth="1"/>
    <col min="3080" max="3080" width="8.42578125" style="73" customWidth="1"/>
    <col min="3081" max="3084" width="0" style="73" hidden="1" customWidth="1"/>
    <col min="3085" max="3085" width="5.28515625" style="73" customWidth="1"/>
    <col min="3086" max="3086" width="5.5703125" style="73" customWidth="1"/>
    <col min="3087" max="3087" width="6" style="73" customWidth="1"/>
    <col min="3088" max="3088" width="5.5703125" style="73" customWidth="1"/>
    <col min="3089" max="3090" width="5.7109375" style="73" customWidth="1"/>
    <col min="3091" max="3091" width="9.85546875" style="73" customWidth="1"/>
    <col min="3092" max="3092" width="9.7109375" style="73" customWidth="1"/>
    <col min="3093" max="3093" width="8.85546875" style="73" customWidth="1"/>
    <col min="3094" max="3094" width="10" style="73" customWidth="1"/>
    <col min="3095" max="3095" width="8.28515625" style="73" customWidth="1"/>
    <col min="3096" max="3096" width="9.5703125" style="73" customWidth="1"/>
    <col min="3097" max="3097" width="15.5703125" style="73" customWidth="1"/>
    <col min="3098" max="3329" width="9.140625" style="73"/>
    <col min="3330" max="3330" width="6.85546875" style="73" customWidth="1"/>
    <col min="3331" max="3331" width="2.140625" style="73" customWidth="1"/>
    <col min="3332" max="3332" width="6.140625" style="73" customWidth="1"/>
    <col min="3333" max="3333" width="8.85546875" style="73" customWidth="1"/>
    <col min="3334" max="3334" width="28.42578125" style="73" customWidth="1"/>
    <col min="3335" max="3335" width="13.85546875" style="73" customWidth="1"/>
    <col min="3336" max="3336" width="8.42578125" style="73" customWidth="1"/>
    <col min="3337" max="3340" width="0" style="73" hidden="1" customWidth="1"/>
    <col min="3341" max="3341" width="5.28515625" style="73" customWidth="1"/>
    <col min="3342" max="3342" width="5.5703125" style="73" customWidth="1"/>
    <col min="3343" max="3343" width="6" style="73" customWidth="1"/>
    <col min="3344" max="3344" width="5.5703125" style="73" customWidth="1"/>
    <col min="3345" max="3346" width="5.7109375" style="73" customWidth="1"/>
    <col min="3347" max="3347" width="9.85546875" style="73" customWidth="1"/>
    <col min="3348" max="3348" width="9.7109375" style="73" customWidth="1"/>
    <col min="3349" max="3349" width="8.85546875" style="73" customWidth="1"/>
    <col min="3350" max="3350" width="10" style="73" customWidth="1"/>
    <col min="3351" max="3351" width="8.28515625" style="73" customWidth="1"/>
    <col min="3352" max="3352" width="9.5703125" style="73" customWidth="1"/>
    <col min="3353" max="3353" width="15.5703125" style="73" customWidth="1"/>
    <col min="3354" max="3585" width="9.140625" style="73"/>
    <col min="3586" max="3586" width="6.85546875" style="73" customWidth="1"/>
    <col min="3587" max="3587" width="2.140625" style="73" customWidth="1"/>
    <col min="3588" max="3588" width="6.140625" style="73" customWidth="1"/>
    <col min="3589" max="3589" width="8.85546875" style="73" customWidth="1"/>
    <col min="3590" max="3590" width="28.42578125" style="73" customWidth="1"/>
    <col min="3591" max="3591" width="13.85546875" style="73" customWidth="1"/>
    <col min="3592" max="3592" width="8.42578125" style="73" customWidth="1"/>
    <col min="3593" max="3596" width="0" style="73" hidden="1" customWidth="1"/>
    <col min="3597" max="3597" width="5.28515625" style="73" customWidth="1"/>
    <col min="3598" max="3598" width="5.5703125" style="73" customWidth="1"/>
    <col min="3599" max="3599" width="6" style="73" customWidth="1"/>
    <col min="3600" max="3600" width="5.5703125" style="73" customWidth="1"/>
    <col min="3601" max="3602" width="5.7109375" style="73" customWidth="1"/>
    <col min="3603" max="3603" width="9.85546875" style="73" customWidth="1"/>
    <col min="3604" max="3604" width="9.7109375" style="73" customWidth="1"/>
    <col min="3605" max="3605" width="8.85546875" style="73" customWidth="1"/>
    <col min="3606" max="3606" width="10" style="73" customWidth="1"/>
    <col min="3607" max="3607" width="8.28515625" style="73" customWidth="1"/>
    <col min="3608" max="3608" width="9.5703125" style="73" customWidth="1"/>
    <col min="3609" max="3609" width="15.5703125" style="73" customWidth="1"/>
    <col min="3610" max="3841" width="9.140625" style="73"/>
    <col min="3842" max="3842" width="6.85546875" style="73" customWidth="1"/>
    <col min="3843" max="3843" width="2.140625" style="73" customWidth="1"/>
    <col min="3844" max="3844" width="6.140625" style="73" customWidth="1"/>
    <col min="3845" max="3845" width="8.85546875" style="73" customWidth="1"/>
    <col min="3846" max="3846" width="28.42578125" style="73" customWidth="1"/>
    <col min="3847" max="3847" width="13.85546875" style="73" customWidth="1"/>
    <col min="3848" max="3848" width="8.42578125" style="73" customWidth="1"/>
    <col min="3849" max="3852" width="0" style="73" hidden="1" customWidth="1"/>
    <col min="3853" max="3853" width="5.28515625" style="73" customWidth="1"/>
    <col min="3854" max="3854" width="5.5703125" style="73" customWidth="1"/>
    <col min="3855" max="3855" width="6" style="73" customWidth="1"/>
    <col min="3856" max="3856" width="5.5703125" style="73" customWidth="1"/>
    <col min="3857" max="3858" width="5.7109375" style="73" customWidth="1"/>
    <col min="3859" max="3859" width="9.85546875" style="73" customWidth="1"/>
    <col min="3860" max="3860" width="9.7109375" style="73" customWidth="1"/>
    <col min="3861" max="3861" width="8.85546875" style="73" customWidth="1"/>
    <col min="3862" max="3862" width="10" style="73" customWidth="1"/>
    <col min="3863" max="3863" width="8.28515625" style="73" customWidth="1"/>
    <col min="3864" max="3864" width="9.5703125" style="73" customWidth="1"/>
    <col min="3865" max="3865" width="15.5703125" style="73" customWidth="1"/>
    <col min="3866" max="4097" width="9.140625" style="73"/>
    <col min="4098" max="4098" width="6.85546875" style="73" customWidth="1"/>
    <col min="4099" max="4099" width="2.140625" style="73" customWidth="1"/>
    <col min="4100" max="4100" width="6.140625" style="73" customWidth="1"/>
    <col min="4101" max="4101" width="8.85546875" style="73" customWidth="1"/>
    <col min="4102" max="4102" width="28.42578125" style="73" customWidth="1"/>
    <col min="4103" max="4103" width="13.85546875" style="73" customWidth="1"/>
    <col min="4104" max="4104" width="8.42578125" style="73" customWidth="1"/>
    <col min="4105" max="4108" width="0" style="73" hidden="1" customWidth="1"/>
    <col min="4109" max="4109" width="5.28515625" style="73" customWidth="1"/>
    <col min="4110" max="4110" width="5.5703125" style="73" customWidth="1"/>
    <col min="4111" max="4111" width="6" style="73" customWidth="1"/>
    <col min="4112" max="4112" width="5.5703125" style="73" customWidth="1"/>
    <col min="4113" max="4114" width="5.7109375" style="73" customWidth="1"/>
    <col min="4115" max="4115" width="9.85546875" style="73" customWidth="1"/>
    <col min="4116" max="4116" width="9.7109375" style="73" customWidth="1"/>
    <col min="4117" max="4117" width="8.85546875" style="73" customWidth="1"/>
    <col min="4118" max="4118" width="10" style="73" customWidth="1"/>
    <col min="4119" max="4119" width="8.28515625" style="73" customWidth="1"/>
    <col min="4120" max="4120" width="9.5703125" style="73" customWidth="1"/>
    <col min="4121" max="4121" width="15.5703125" style="73" customWidth="1"/>
    <col min="4122" max="4353" width="9.140625" style="73"/>
    <col min="4354" max="4354" width="6.85546875" style="73" customWidth="1"/>
    <col min="4355" max="4355" width="2.140625" style="73" customWidth="1"/>
    <col min="4356" max="4356" width="6.140625" style="73" customWidth="1"/>
    <col min="4357" max="4357" width="8.85546875" style="73" customWidth="1"/>
    <col min="4358" max="4358" width="28.42578125" style="73" customWidth="1"/>
    <col min="4359" max="4359" width="13.85546875" style="73" customWidth="1"/>
    <col min="4360" max="4360" width="8.42578125" style="73" customWidth="1"/>
    <col min="4361" max="4364" width="0" style="73" hidden="1" customWidth="1"/>
    <col min="4365" max="4365" width="5.28515625" style="73" customWidth="1"/>
    <col min="4366" max="4366" width="5.5703125" style="73" customWidth="1"/>
    <col min="4367" max="4367" width="6" style="73" customWidth="1"/>
    <col min="4368" max="4368" width="5.5703125" style="73" customWidth="1"/>
    <col min="4369" max="4370" width="5.7109375" style="73" customWidth="1"/>
    <col min="4371" max="4371" width="9.85546875" style="73" customWidth="1"/>
    <col min="4372" max="4372" width="9.7109375" style="73" customWidth="1"/>
    <col min="4373" max="4373" width="8.85546875" style="73" customWidth="1"/>
    <col min="4374" max="4374" width="10" style="73" customWidth="1"/>
    <col min="4375" max="4375" width="8.28515625" style="73" customWidth="1"/>
    <col min="4376" max="4376" width="9.5703125" style="73" customWidth="1"/>
    <col min="4377" max="4377" width="15.5703125" style="73" customWidth="1"/>
    <col min="4378" max="4609" width="9.140625" style="73"/>
    <col min="4610" max="4610" width="6.85546875" style="73" customWidth="1"/>
    <col min="4611" max="4611" width="2.140625" style="73" customWidth="1"/>
    <col min="4612" max="4612" width="6.140625" style="73" customWidth="1"/>
    <col min="4613" max="4613" width="8.85546875" style="73" customWidth="1"/>
    <col min="4614" max="4614" width="28.42578125" style="73" customWidth="1"/>
    <col min="4615" max="4615" width="13.85546875" style="73" customWidth="1"/>
    <col min="4616" max="4616" width="8.42578125" style="73" customWidth="1"/>
    <col min="4617" max="4620" width="0" style="73" hidden="1" customWidth="1"/>
    <col min="4621" max="4621" width="5.28515625" style="73" customWidth="1"/>
    <col min="4622" max="4622" width="5.5703125" style="73" customWidth="1"/>
    <col min="4623" max="4623" width="6" style="73" customWidth="1"/>
    <col min="4624" max="4624" width="5.5703125" style="73" customWidth="1"/>
    <col min="4625" max="4626" width="5.7109375" style="73" customWidth="1"/>
    <col min="4627" max="4627" width="9.85546875" style="73" customWidth="1"/>
    <col min="4628" max="4628" width="9.7109375" style="73" customWidth="1"/>
    <col min="4629" max="4629" width="8.85546875" style="73" customWidth="1"/>
    <col min="4630" max="4630" width="10" style="73" customWidth="1"/>
    <col min="4631" max="4631" width="8.28515625" style="73" customWidth="1"/>
    <col min="4632" max="4632" width="9.5703125" style="73" customWidth="1"/>
    <col min="4633" max="4633" width="15.5703125" style="73" customWidth="1"/>
    <col min="4634" max="4865" width="9.140625" style="73"/>
    <col min="4866" max="4866" width="6.85546875" style="73" customWidth="1"/>
    <col min="4867" max="4867" width="2.140625" style="73" customWidth="1"/>
    <col min="4868" max="4868" width="6.140625" style="73" customWidth="1"/>
    <col min="4869" max="4869" width="8.85546875" style="73" customWidth="1"/>
    <col min="4870" max="4870" width="28.42578125" style="73" customWidth="1"/>
    <col min="4871" max="4871" width="13.85546875" style="73" customWidth="1"/>
    <col min="4872" max="4872" width="8.42578125" style="73" customWidth="1"/>
    <col min="4873" max="4876" width="0" style="73" hidden="1" customWidth="1"/>
    <col min="4877" max="4877" width="5.28515625" style="73" customWidth="1"/>
    <col min="4878" max="4878" width="5.5703125" style="73" customWidth="1"/>
    <col min="4879" max="4879" width="6" style="73" customWidth="1"/>
    <col min="4880" max="4880" width="5.5703125" style="73" customWidth="1"/>
    <col min="4881" max="4882" width="5.7109375" style="73" customWidth="1"/>
    <col min="4883" max="4883" width="9.85546875" style="73" customWidth="1"/>
    <col min="4884" max="4884" width="9.7109375" style="73" customWidth="1"/>
    <col min="4885" max="4885" width="8.85546875" style="73" customWidth="1"/>
    <col min="4886" max="4886" width="10" style="73" customWidth="1"/>
    <col min="4887" max="4887" width="8.28515625" style="73" customWidth="1"/>
    <col min="4888" max="4888" width="9.5703125" style="73" customWidth="1"/>
    <col min="4889" max="4889" width="15.5703125" style="73" customWidth="1"/>
    <col min="4890" max="5121" width="9.140625" style="73"/>
    <col min="5122" max="5122" width="6.85546875" style="73" customWidth="1"/>
    <col min="5123" max="5123" width="2.140625" style="73" customWidth="1"/>
    <col min="5124" max="5124" width="6.140625" style="73" customWidth="1"/>
    <col min="5125" max="5125" width="8.85546875" style="73" customWidth="1"/>
    <col min="5126" max="5126" width="28.42578125" style="73" customWidth="1"/>
    <col min="5127" max="5127" width="13.85546875" style="73" customWidth="1"/>
    <col min="5128" max="5128" width="8.42578125" style="73" customWidth="1"/>
    <col min="5129" max="5132" width="0" style="73" hidden="1" customWidth="1"/>
    <col min="5133" max="5133" width="5.28515625" style="73" customWidth="1"/>
    <col min="5134" max="5134" width="5.5703125" style="73" customWidth="1"/>
    <col min="5135" max="5135" width="6" style="73" customWidth="1"/>
    <col min="5136" max="5136" width="5.5703125" style="73" customWidth="1"/>
    <col min="5137" max="5138" width="5.7109375" style="73" customWidth="1"/>
    <col min="5139" max="5139" width="9.85546875" style="73" customWidth="1"/>
    <col min="5140" max="5140" width="9.7109375" style="73" customWidth="1"/>
    <col min="5141" max="5141" width="8.85546875" style="73" customWidth="1"/>
    <col min="5142" max="5142" width="10" style="73" customWidth="1"/>
    <col min="5143" max="5143" width="8.28515625" style="73" customWidth="1"/>
    <col min="5144" max="5144" width="9.5703125" style="73" customWidth="1"/>
    <col min="5145" max="5145" width="15.5703125" style="73" customWidth="1"/>
    <col min="5146" max="5377" width="9.140625" style="73"/>
    <col min="5378" max="5378" width="6.85546875" style="73" customWidth="1"/>
    <col min="5379" max="5379" width="2.140625" style="73" customWidth="1"/>
    <col min="5380" max="5380" width="6.140625" style="73" customWidth="1"/>
    <col min="5381" max="5381" width="8.85546875" style="73" customWidth="1"/>
    <col min="5382" max="5382" width="28.42578125" style="73" customWidth="1"/>
    <col min="5383" max="5383" width="13.85546875" style="73" customWidth="1"/>
    <col min="5384" max="5384" width="8.42578125" style="73" customWidth="1"/>
    <col min="5385" max="5388" width="0" style="73" hidden="1" customWidth="1"/>
    <col min="5389" max="5389" width="5.28515625" style="73" customWidth="1"/>
    <col min="5390" max="5390" width="5.5703125" style="73" customWidth="1"/>
    <col min="5391" max="5391" width="6" style="73" customWidth="1"/>
    <col min="5392" max="5392" width="5.5703125" style="73" customWidth="1"/>
    <col min="5393" max="5394" width="5.7109375" style="73" customWidth="1"/>
    <col min="5395" max="5395" width="9.85546875" style="73" customWidth="1"/>
    <col min="5396" max="5396" width="9.7109375" style="73" customWidth="1"/>
    <col min="5397" max="5397" width="8.85546875" style="73" customWidth="1"/>
    <col min="5398" max="5398" width="10" style="73" customWidth="1"/>
    <col min="5399" max="5399" width="8.28515625" style="73" customWidth="1"/>
    <col min="5400" max="5400" width="9.5703125" style="73" customWidth="1"/>
    <col min="5401" max="5401" width="15.5703125" style="73" customWidth="1"/>
    <col min="5402" max="5633" width="9.140625" style="73"/>
    <col min="5634" max="5634" width="6.85546875" style="73" customWidth="1"/>
    <col min="5635" max="5635" width="2.140625" style="73" customWidth="1"/>
    <col min="5636" max="5636" width="6.140625" style="73" customWidth="1"/>
    <col min="5637" max="5637" width="8.85546875" style="73" customWidth="1"/>
    <col min="5638" max="5638" width="28.42578125" style="73" customWidth="1"/>
    <col min="5639" max="5639" width="13.85546875" style="73" customWidth="1"/>
    <col min="5640" max="5640" width="8.42578125" style="73" customWidth="1"/>
    <col min="5641" max="5644" width="0" style="73" hidden="1" customWidth="1"/>
    <col min="5645" max="5645" width="5.28515625" style="73" customWidth="1"/>
    <col min="5646" max="5646" width="5.5703125" style="73" customWidth="1"/>
    <col min="5647" max="5647" width="6" style="73" customWidth="1"/>
    <col min="5648" max="5648" width="5.5703125" style="73" customWidth="1"/>
    <col min="5649" max="5650" width="5.7109375" style="73" customWidth="1"/>
    <col min="5651" max="5651" width="9.85546875" style="73" customWidth="1"/>
    <col min="5652" max="5652" width="9.7109375" style="73" customWidth="1"/>
    <col min="5653" max="5653" width="8.85546875" style="73" customWidth="1"/>
    <col min="5654" max="5654" width="10" style="73" customWidth="1"/>
    <col min="5655" max="5655" width="8.28515625" style="73" customWidth="1"/>
    <col min="5656" max="5656" width="9.5703125" style="73" customWidth="1"/>
    <col min="5657" max="5657" width="15.5703125" style="73" customWidth="1"/>
    <col min="5658" max="5889" width="9.140625" style="73"/>
    <col min="5890" max="5890" width="6.85546875" style="73" customWidth="1"/>
    <col min="5891" max="5891" width="2.140625" style="73" customWidth="1"/>
    <col min="5892" max="5892" width="6.140625" style="73" customWidth="1"/>
    <col min="5893" max="5893" width="8.85546875" style="73" customWidth="1"/>
    <col min="5894" max="5894" width="28.42578125" style="73" customWidth="1"/>
    <col min="5895" max="5895" width="13.85546875" style="73" customWidth="1"/>
    <col min="5896" max="5896" width="8.42578125" style="73" customWidth="1"/>
    <col min="5897" max="5900" width="0" style="73" hidden="1" customWidth="1"/>
    <col min="5901" max="5901" width="5.28515625" style="73" customWidth="1"/>
    <col min="5902" max="5902" width="5.5703125" style="73" customWidth="1"/>
    <col min="5903" max="5903" width="6" style="73" customWidth="1"/>
    <col min="5904" max="5904" width="5.5703125" style="73" customWidth="1"/>
    <col min="5905" max="5906" width="5.7109375" style="73" customWidth="1"/>
    <col min="5907" max="5907" width="9.85546875" style="73" customWidth="1"/>
    <col min="5908" max="5908" width="9.7109375" style="73" customWidth="1"/>
    <col min="5909" max="5909" width="8.85546875" style="73" customWidth="1"/>
    <col min="5910" max="5910" width="10" style="73" customWidth="1"/>
    <col min="5911" max="5911" width="8.28515625" style="73" customWidth="1"/>
    <col min="5912" max="5912" width="9.5703125" style="73" customWidth="1"/>
    <col min="5913" max="5913" width="15.5703125" style="73" customWidth="1"/>
    <col min="5914" max="6145" width="9.140625" style="73"/>
    <col min="6146" max="6146" width="6.85546875" style="73" customWidth="1"/>
    <col min="6147" max="6147" width="2.140625" style="73" customWidth="1"/>
    <col min="6148" max="6148" width="6.140625" style="73" customWidth="1"/>
    <col min="6149" max="6149" width="8.85546875" style="73" customWidth="1"/>
    <col min="6150" max="6150" width="28.42578125" style="73" customWidth="1"/>
    <col min="6151" max="6151" width="13.85546875" style="73" customWidth="1"/>
    <col min="6152" max="6152" width="8.42578125" style="73" customWidth="1"/>
    <col min="6153" max="6156" width="0" style="73" hidden="1" customWidth="1"/>
    <col min="6157" max="6157" width="5.28515625" style="73" customWidth="1"/>
    <col min="6158" max="6158" width="5.5703125" style="73" customWidth="1"/>
    <col min="6159" max="6159" width="6" style="73" customWidth="1"/>
    <col min="6160" max="6160" width="5.5703125" style="73" customWidth="1"/>
    <col min="6161" max="6162" width="5.7109375" style="73" customWidth="1"/>
    <col min="6163" max="6163" width="9.85546875" style="73" customWidth="1"/>
    <col min="6164" max="6164" width="9.7109375" style="73" customWidth="1"/>
    <col min="6165" max="6165" width="8.85546875" style="73" customWidth="1"/>
    <col min="6166" max="6166" width="10" style="73" customWidth="1"/>
    <col min="6167" max="6167" width="8.28515625" style="73" customWidth="1"/>
    <col min="6168" max="6168" width="9.5703125" style="73" customWidth="1"/>
    <col min="6169" max="6169" width="15.5703125" style="73" customWidth="1"/>
    <col min="6170" max="6401" width="9.140625" style="73"/>
    <col min="6402" max="6402" width="6.85546875" style="73" customWidth="1"/>
    <col min="6403" max="6403" width="2.140625" style="73" customWidth="1"/>
    <col min="6404" max="6404" width="6.140625" style="73" customWidth="1"/>
    <col min="6405" max="6405" width="8.85546875" style="73" customWidth="1"/>
    <col min="6406" max="6406" width="28.42578125" style="73" customWidth="1"/>
    <col min="6407" max="6407" width="13.85546875" style="73" customWidth="1"/>
    <col min="6408" max="6408" width="8.42578125" style="73" customWidth="1"/>
    <col min="6409" max="6412" width="0" style="73" hidden="1" customWidth="1"/>
    <col min="6413" max="6413" width="5.28515625" style="73" customWidth="1"/>
    <col min="6414" max="6414" width="5.5703125" style="73" customWidth="1"/>
    <col min="6415" max="6415" width="6" style="73" customWidth="1"/>
    <col min="6416" max="6416" width="5.5703125" style="73" customWidth="1"/>
    <col min="6417" max="6418" width="5.7109375" style="73" customWidth="1"/>
    <col min="6419" max="6419" width="9.85546875" style="73" customWidth="1"/>
    <col min="6420" max="6420" width="9.7109375" style="73" customWidth="1"/>
    <col min="6421" max="6421" width="8.85546875" style="73" customWidth="1"/>
    <col min="6422" max="6422" width="10" style="73" customWidth="1"/>
    <col min="6423" max="6423" width="8.28515625" style="73" customWidth="1"/>
    <col min="6424" max="6424" width="9.5703125" style="73" customWidth="1"/>
    <col min="6425" max="6425" width="15.5703125" style="73" customWidth="1"/>
    <col min="6426" max="6657" width="9.140625" style="73"/>
    <col min="6658" max="6658" width="6.85546875" style="73" customWidth="1"/>
    <col min="6659" max="6659" width="2.140625" style="73" customWidth="1"/>
    <col min="6660" max="6660" width="6.140625" style="73" customWidth="1"/>
    <col min="6661" max="6661" width="8.85546875" style="73" customWidth="1"/>
    <col min="6662" max="6662" width="28.42578125" style="73" customWidth="1"/>
    <col min="6663" max="6663" width="13.85546875" style="73" customWidth="1"/>
    <col min="6664" max="6664" width="8.42578125" style="73" customWidth="1"/>
    <col min="6665" max="6668" width="0" style="73" hidden="1" customWidth="1"/>
    <col min="6669" max="6669" width="5.28515625" style="73" customWidth="1"/>
    <col min="6670" max="6670" width="5.5703125" style="73" customWidth="1"/>
    <col min="6671" max="6671" width="6" style="73" customWidth="1"/>
    <col min="6672" max="6672" width="5.5703125" style="73" customWidth="1"/>
    <col min="6673" max="6674" width="5.7109375" style="73" customWidth="1"/>
    <col min="6675" max="6675" width="9.85546875" style="73" customWidth="1"/>
    <col min="6676" max="6676" width="9.7109375" style="73" customWidth="1"/>
    <col min="6677" max="6677" width="8.85546875" style="73" customWidth="1"/>
    <col min="6678" max="6678" width="10" style="73" customWidth="1"/>
    <col min="6679" max="6679" width="8.28515625" style="73" customWidth="1"/>
    <col min="6680" max="6680" width="9.5703125" style="73" customWidth="1"/>
    <col min="6681" max="6681" width="15.5703125" style="73" customWidth="1"/>
    <col min="6682" max="6913" width="9.140625" style="73"/>
    <col min="6914" max="6914" width="6.85546875" style="73" customWidth="1"/>
    <col min="6915" max="6915" width="2.140625" style="73" customWidth="1"/>
    <col min="6916" max="6916" width="6.140625" style="73" customWidth="1"/>
    <col min="6917" max="6917" width="8.85546875" style="73" customWidth="1"/>
    <col min="6918" max="6918" width="28.42578125" style="73" customWidth="1"/>
    <col min="6919" max="6919" width="13.85546875" style="73" customWidth="1"/>
    <col min="6920" max="6920" width="8.42578125" style="73" customWidth="1"/>
    <col min="6921" max="6924" width="0" style="73" hidden="1" customWidth="1"/>
    <col min="6925" max="6925" width="5.28515625" style="73" customWidth="1"/>
    <col min="6926" max="6926" width="5.5703125" style="73" customWidth="1"/>
    <col min="6927" max="6927" width="6" style="73" customWidth="1"/>
    <col min="6928" max="6928" width="5.5703125" style="73" customWidth="1"/>
    <col min="6929" max="6930" width="5.7109375" style="73" customWidth="1"/>
    <col min="6931" max="6931" width="9.85546875" style="73" customWidth="1"/>
    <col min="6932" max="6932" width="9.7109375" style="73" customWidth="1"/>
    <col min="6933" max="6933" width="8.85546875" style="73" customWidth="1"/>
    <col min="6934" max="6934" width="10" style="73" customWidth="1"/>
    <col min="6935" max="6935" width="8.28515625" style="73" customWidth="1"/>
    <col min="6936" max="6936" width="9.5703125" style="73" customWidth="1"/>
    <col min="6937" max="6937" width="15.5703125" style="73" customWidth="1"/>
    <col min="6938" max="7169" width="9.140625" style="73"/>
    <col min="7170" max="7170" width="6.85546875" style="73" customWidth="1"/>
    <col min="7171" max="7171" width="2.140625" style="73" customWidth="1"/>
    <col min="7172" max="7172" width="6.140625" style="73" customWidth="1"/>
    <col min="7173" max="7173" width="8.85546875" style="73" customWidth="1"/>
    <col min="7174" max="7174" width="28.42578125" style="73" customWidth="1"/>
    <col min="7175" max="7175" width="13.85546875" style="73" customWidth="1"/>
    <col min="7176" max="7176" width="8.42578125" style="73" customWidth="1"/>
    <col min="7177" max="7180" width="0" style="73" hidden="1" customWidth="1"/>
    <col min="7181" max="7181" width="5.28515625" style="73" customWidth="1"/>
    <col min="7182" max="7182" width="5.5703125" style="73" customWidth="1"/>
    <col min="7183" max="7183" width="6" style="73" customWidth="1"/>
    <col min="7184" max="7184" width="5.5703125" style="73" customWidth="1"/>
    <col min="7185" max="7186" width="5.7109375" style="73" customWidth="1"/>
    <col min="7187" max="7187" width="9.85546875" style="73" customWidth="1"/>
    <col min="7188" max="7188" width="9.7109375" style="73" customWidth="1"/>
    <col min="7189" max="7189" width="8.85546875" style="73" customWidth="1"/>
    <col min="7190" max="7190" width="10" style="73" customWidth="1"/>
    <col min="7191" max="7191" width="8.28515625" style="73" customWidth="1"/>
    <col min="7192" max="7192" width="9.5703125" style="73" customWidth="1"/>
    <col min="7193" max="7193" width="15.5703125" style="73" customWidth="1"/>
    <col min="7194" max="7425" width="9.140625" style="73"/>
    <col min="7426" max="7426" width="6.85546875" style="73" customWidth="1"/>
    <col min="7427" max="7427" width="2.140625" style="73" customWidth="1"/>
    <col min="7428" max="7428" width="6.140625" style="73" customWidth="1"/>
    <col min="7429" max="7429" width="8.85546875" style="73" customWidth="1"/>
    <col min="7430" max="7430" width="28.42578125" style="73" customWidth="1"/>
    <col min="7431" max="7431" width="13.85546875" style="73" customWidth="1"/>
    <col min="7432" max="7432" width="8.42578125" style="73" customWidth="1"/>
    <col min="7433" max="7436" width="0" style="73" hidden="1" customWidth="1"/>
    <col min="7437" max="7437" width="5.28515625" style="73" customWidth="1"/>
    <col min="7438" max="7438" width="5.5703125" style="73" customWidth="1"/>
    <col min="7439" max="7439" width="6" style="73" customWidth="1"/>
    <col min="7440" max="7440" width="5.5703125" style="73" customWidth="1"/>
    <col min="7441" max="7442" width="5.7109375" style="73" customWidth="1"/>
    <col min="7443" max="7443" width="9.85546875" style="73" customWidth="1"/>
    <col min="7444" max="7444" width="9.7109375" style="73" customWidth="1"/>
    <col min="7445" max="7445" width="8.85546875" style="73" customWidth="1"/>
    <col min="7446" max="7446" width="10" style="73" customWidth="1"/>
    <col min="7447" max="7447" width="8.28515625" style="73" customWidth="1"/>
    <col min="7448" max="7448" width="9.5703125" style="73" customWidth="1"/>
    <col min="7449" max="7449" width="15.5703125" style="73" customWidth="1"/>
    <col min="7450" max="7681" width="9.140625" style="73"/>
    <col min="7682" max="7682" width="6.85546875" style="73" customWidth="1"/>
    <col min="7683" max="7683" width="2.140625" style="73" customWidth="1"/>
    <col min="7684" max="7684" width="6.140625" style="73" customWidth="1"/>
    <col min="7685" max="7685" width="8.85546875" style="73" customWidth="1"/>
    <col min="7686" max="7686" width="28.42578125" style="73" customWidth="1"/>
    <col min="7687" max="7687" width="13.85546875" style="73" customWidth="1"/>
    <col min="7688" max="7688" width="8.42578125" style="73" customWidth="1"/>
    <col min="7689" max="7692" width="0" style="73" hidden="1" customWidth="1"/>
    <col min="7693" max="7693" width="5.28515625" style="73" customWidth="1"/>
    <col min="7694" max="7694" width="5.5703125" style="73" customWidth="1"/>
    <col min="7695" max="7695" width="6" style="73" customWidth="1"/>
    <col min="7696" max="7696" width="5.5703125" style="73" customWidth="1"/>
    <col min="7697" max="7698" width="5.7109375" style="73" customWidth="1"/>
    <col min="7699" max="7699" width="9.85546875" style="73" customWidth="1"/>
    <col min="7700" max="7700" width="9.7109375" style="73" customWidth="1"/>
    <col min="7701" max="7701" width="8.85546875" style="73" customWidth="1"/>
    <col min="7702" max="7702" width="10" style="73" customWidth="1"/>
    <col min="7703" max="7703" width="8.28515625" style="73" customWidth="1"/>
    <col min="7704" max="7704" width="9.5703125" style="73" customWidth="1"/>
    <col min="7705" max="7705" width="15.5703125" style="73" customWidth="1"/>
    <col min="7706" max="7937" width="9.140625" style="73"/>
    <col min="7938" max="7938" width="6.85546875" style="73" customWidth="1"/>
    <col min="7939" max="7939" width="2.140625" style="73" customWidth="1"/>
    <col min="7940" max="7940" width="6.140625" style="73" customWidth="1"/>
    <col min="7941" max="7941" width="8.85546875" style="73" customWidth="1"/>
    <col min="7942" max="7942" width="28.42578125" style="73" customWidth="1"/>
    <col min="7943" max="7943" width="13.85546875" style="73" customWidth="1"/>
    <col min="7944" max="7944" width="8.42578125" style="73" customWidth="1"/>
    <col min="7945" max="7948" width="0" style="73" hidden="1" customWidth="1"/>
    <col min="7949" max="7949" width="5.28515625" style="73" customWidth="1"/>
    <col min="7950" max="7950" width="5.5703125" style="73" customWidth="1"/>
    <col min="7951" max="7951" width="6" style="73" customWidth="1"/>
    <col min="7952" max="7952" width="5.5703125" style="73" customWidth="1"/>
    <col min="7953" max="7954" width="5.7109375" style="73" customWidth="1"/>
    <col min="7955" max="7955" width="9.85546875" style="73" customWidth="1"/>
    <col min="7956" max="7956" width="9.7109375" style="73" customWidth="1"/>
    <col min="7957" max="7957" width="8.85546875" style="73" customWidth="1"/>
    <col min="7958" max="7958" width="10" style="73" customWidth="1"/>
    <col min="7959" max="7959" width="8.28515625" style="73" customWidth="1"/>
    <col min="7960" max="7960" width="9.5703125" style="73" customWidth="1"/>
    <col min="7961" max="7961" width="15.5703125" style="73" customWidth="1"/>
    <col min="7962" max="8193" width="9.140625" style="73"/>
    <col min="8194" max="8194" width="6.85546875" style="73" customWidth="1"/>
    <col min="8195" max="8195" width="2.140625" style="73" customWidth="1"/>
    <col min="8196" max="8196" width="6.140625" style="73" customWidth="1"/>
    <col min="8197" max="8197" width="8.85546875" style="73" customWidth="1"/>
    <col min="8198" max="8198" width="28.42578125" style="73" customWidth="1"/>
    <col min="8199" max="8199" width="13.85546875" style="73" customWidth="1"/>
    <col min="8200" max="8200" width="8.42578125" style="73" customWidth="1"/>
    <col min="8201" max="8204" width="0" style="73" hidden="1" customWidth="1"/>
    <col min="8205" max="8205" width="5.28515625" style="73" customWidth="1"/>
    <col min="8206" max="8206" width="5.5703125" style="73" customWidth="1"/>
    <col min="8207" max="8207" width="6" style="73" customWidth="1"/>
    <col min="8208" max="8208" width="5.5703125" style="73" customWidth="1"/>
    <col min="8209" max="8210" width="5.7109375" style="73" customWidth="1"/>
    <col min="8211" max="8211" width="9.85546875" style="73" customWidth="1"/>
    <col min="8212" max="8212" width="9.7109375" style="73" customWidth="1"/>
    <col min="8213" max="8213" width="8.85546875" style="73" customWidth="1"/>
    <col min="8214" max="8214" width="10" style="73" customWidth="1"/>
    <col min="8215" max="8215" width="8.28515625" style="73" customWidth="1"/>
    <col min="8216" max="8216" width="9.5703125" style="73" customWidth="1"/>
    <col min="8217" max="8217" width="15.5703125" style="73" customWidth="1"/>
    <col min="8218" max="8449" width="9.140625" style="73"/>
    <col min="8450" max="8450" width="6.85546875" style="73" customWidth="1"/>
    <col min="8451" max="8451" width="2.140625" style="73" customWidth="1"/>
    <col min="8452" max="8452" width="6.140625" style="73" customWidth="1"/>
    <col min="8453" max="8453" width="8.85546875" style="73" customWidth="1"/>
    <col min="8454" max="8454" width="28.42578125" style="73" customWidth="1"/>
    <col min="8455" max="8455" width="13.85546875" style="73" customWidth="1"/>
    <col min="8456" max="8456" width="8.42578125" style="73" customWidth="1"/>
    <col min="8457" max="8460" width="0" style="73" hidden="1" customWidth="1"/>
    <col min="8461" max="8461" width="5.28515625" style="73" customWidth="1"/>
    <col min="8462" max="8462" width="5.5703125" style="73" customWidth="1"/>
    <col min="8463" max="8463" width="6" style="73" customWidth="1"/>
    <col min="8464" max="8464" width="5.5703125" style="73" customWidth="1"/>
    <col min="8465" max="8466" width="5.7109375" style="73" customWidth="1"/>
    <col min="8467" max="8467" width="9.85546875" style="73" customWidth="1"/>
    <col min="8468" max="8468" width="9.7109375" style="73" customWidth="1"/>
    <col min="8469" max="8469" width="8.85546875" style="73" customWidth="1"/>
    <col min="8470" max="8470" width="10" style="73" customWidth="1"/>
    <col min="8471" max="8471" width="8.28515625" style="73" customWidth="1"/>
    <col min="8472" max="8472" width="9.5703125" style="73" customWidth="1"/>
    <col min="8473" max="8473" width="15.5703125" style="73" customWidth="1"/>
    <col min="8474" max="8705" width="9.140625" style="73"/>
    <col min="8706" max="8706" width="6.85546875" style="73" customWidth="1"/>
    <col min="8707" max="8707" width="2.140625" style="73" customWidth="1"/>
    <col min="8708" max="8708" width="6.140625" style="73" customWidth="1"/>
    <col min="8709" max="8709" width="8.85546875" style="73" customWidth="1"/>
    <col min="8710" max="8710" width="28.42578125" style="73" customWidth="1"/>
    <col min="8711" max="8711" width="13.85546875" style="73" customWidth="1"/>
    <col min="8712" max="8712" width="8.42578125" style="73" customWidth="1"/>
    <col min="8713" max="8716" width="0" style="73" hidden="1" customWidth="1"/>
    <col min="8717" max="8717" width="5.28515625" style="73" customWidth="1"/>
    <col min="8718" max="8718" width="5.5703125" style="73" customWidth="1"/>
    <col min="8719" max="8719" width="6" style="73" customWidth="1"/>
    <col min="8720" max="8720" width="5.5703125" style="73" customWidth="1"/>
    <col min="8721" max="8722" width="5.7109375" style="73" customWidth="1"/>
    <col min="8723" max="8723" width="9.85546875" style="73" customWidth="1"/>
    <col min="8724" max="8724" width="9.7109375" style="73" customWidth="1"/>
    <col min="8725" max="8725" width="8.85546875" style="73" customWidth="1"/>
    <col min="8726" max="8726" width="10" style="73" customWidth="1"/>
    <col min="8727" max="8727" width="8.28515625" style="73" customWidth="1"/>
    <col min="8728" max="8728" width="9.5703125" style="73" customWidth="1"/>
    <col min="8729" max="8729" width="15.5703125" style="73" customWidth="1"/>
    <col min="8730" max="8961" width="9.140625" style="73"/>
    <col min="8962" max="8962" width="6.85546875" style="73" customWidth="1"/>
    <col min="8963" max="8963" width="2.140625" style="73" customWidth="1"/>
    <col min="8964" max="8964" width="6.140625" style="73" customWidth="1"/>
    <col min="8965" max="8965" width="8.85546875" style="73" customWidth="1"/>
    <col min="8966" max="8966" width="28.42578125" style="73" customWidth="1"/>
    <col min="8967" max="8967" width="13.85546875" style="73" customWidth="1"/>
    <col min="8968" max="8968" width="8.42578125" style="73" customWidth="1"/>
    <col min="8969" max="8972" width="0" style="73" hidden="1" customWidth="1"/>
    <col min="8973" max="8973" width="5.28515625" style="73" customWidth="1"/>
    <col min="8974" max="8974" width="5.5703125" style="73" customWidth="1"/>
    <col min="8975" max="8975" width="6" style="73" customWidth="1"/>
    <col min="8976" max="8976" width="5.5703125" style="73" customWidth="1"/>
    <col min="8977" max="8978" width="5.7109375" style="73" customWidth="1"/>
    <col min="8979" max="8979" width="9.85546875" style="73" customWidth="1"/>
    <col min="8980" max="8980" width="9.7109375" style="73" customWidth="1"/>
    <col min="8981" max="8981" width="8.85546875" style="73" customWidth="1"/>
    <col min="8982" max="8982" width="10" style="73" customWidth="1"/>
    <col min="8983" max="8983" width="8.28515625" style="73" customWidth="1"/>
    <col min="8984" max="8984" width="9.5703125" style="73" customWidth="1"/>
    <col min="8985" max="8985" width="15.5703125" style="73" customWidth="1"/>
    <col min="8986" max="9217" width="9.140625" style="73"/>
    <col min="9218" max="9218" width="6.85546875" style="73" customWidth="1"/>
    <col min="9219" max="9219" width="2.140625" style="73" customWidth="1"/>
    <col min="9220" max="9220" width="6.140625" style="73" customWidth="1"/>
    <col min="9221" max="9221" width="8.85546875" style="73" customWidth="1"/>
    <col min="9222" max="9222" width="28.42578125" style="73" customWidth="1"/>
    <col min="9223" max="9223" width="13.85546875" style="73" customWidth="1"/>
    <col min="9224" max="9224" width="8.42578125" style="73" customWidth="1"/>
    <col min="9225" max="9228" width="0" style="73" hidden="1" customWidth="1"/>
    <col min="9229" max="9229" width="5.28515625" style="73" customWidth="1"/>
    <col min="9230" max="9230" width="5.5703125" style="73" customWidth="1"/>
    <col min="9231" max="9231" width="6" style="73" customWidth="1"/>
    <col min="9232" max="9232" width="5.5703125" style="73" customWidth="1"/>
    <col min="9233" max="9234" width="5.7109375" style="73" customWidth="1"/>
    <col min="9235" max="9235" width="9.85546875" style="73" customWidth="1"/>
    <col min="9236" max="9236" width="9.7109375" style="73" customWidth="1"/>
    <col min="9237" max="9237" width="8.85546875" style="73" customWidth="1"/>
    <col min="9238" max="9238" width="10" style="73" customWidth="1"/>
    <col min="9239" max="9239" width="8.28515625" style="73" customWidth="1"/>
    <col min="9240" max="9240" width="9.5703125" style="73" customWidth="1"/>
    <col min="9241" max="9241" width="15.5703125" style="73" customWidth="1"/>
    <col min="9242" max="9473" width="9.140625" style="73"/>
    <col min="9474" max="9474" width="6.85546875" style="73" customWidth="1"/>
    <col min="9475" max="9475" width="2.140625" style="73" customWidth="1"/>
    <col min="9476" max="9476" width="6.140625" style="73" customWidth="1"/>
    <col min="9477" max="9477" width="8.85546875" style="73" customWidth="1"/>
    <col min="9478" max="9478" width="28.42578125" style="73" customWidth="1"/>
    <col min="9479" max="9479" width="13.85546875" style="73" customWidth="1"/>
    <col min="9480" max="9480" width="8.42578125" style="73" customWidth="1"/>
    <col min="9481" max="9484" width="0" style="73" hidden="1" customWidth="1"/>
    <col min="9485" max="9485" width="5.28515625" style="73" customWidth="1"/>
    <col min="9486" max="9486" width="5.5703125" style="73" customWidth="1"/>
    <col min="9487" max="9487" width="6" style="73" customWidth="1"/>
    <col min="9488" max="9488" width="5.5703125" style="73" customWidth="1"/>
    <col min="9489" max="9490" width="5.7109375" style="73" customWidth="1"/>
    <col min="9491" max="9491" width="9.85546875" style="73" customWidth="1"/>
    <col min="9492" max="9492" width="9.7109375" style="73" customWidth="1"/>
    <col min="9493" max="9493" width="8.85546875" style="73" customWidth="1"/>
    <col min="9494" max="9494" width="10" style="73" customWidth="1"/>
    <col min="9495" max="9495" width="8.28515625" style="73" customWidth="1"/>
    <col min="9496" max="9496" width="9.5703125" style="73" customWidth="1"/>
    <col min="9497" max="9497" width="15.5703125" style="73" customWidth="1"/>
    <col min="9498" max="9729" width="9.140625" style="73"/>
    <col min="9730" max="9730" width="6.85546875" style="73" customWidth="1"/>
    <col min="9731" max="9731" width="2.140625" style="73" customWidth="1"/>
    <col min="9732" max="9732" width="6.140625" style="73" customWidth="1"/>
    <col min="9733" max="9733" width="8.85546875" style="73" customWidth="1"/>
    <col min="9734" max="9734" width="28.42578125" style="73" customWidth="1"/>
    <col min="9735" max="9735" width="13.85546875" style="73" customWidth="1"/>
    <col min="9736" max="9736" width="8.42578125" style="73" customWidth="1"/>
    <col min="9737" max="9740" width="0" style="73" hidden="1" customWidth="1"/>
    <col min="9741" max="9741" width="5.28515625" style="73" customWidth="1"/>
    <col min="9742" max="9742" width="5.5703125" style="73" customWidth="1"/>
    <col min="9743" max="9743" width="6" style="73" customWidth="1"/>
    <col min="9744" max="9744" width="5.5703125" style="73" customWidth="1"/>
    <col min="9745" max="9746" width="5.7109375" style="73" customWidth="1"/>
    <col min="9747" max="9747" width="9.85546875" style="73" customWidth="1"/>
    <col min="9748" max="9748" width="9.7109375" style="73" customWidth="1"/>
    <col min="9749" max="9749" width="8.85546875" style="73" customWidth="1"/>
    <col min="9750" max="9750" width="10" style="73" customWidth="1"/>
    <col min="9751" max="9751" width="8.28515625" style="73" customWidth="1"/>
    <col min="9752" max="9752" width="9.5703125" style="73" customWidth="1"/>
    <col min="9753" max="9753" width="15.5703125" style="73" customWidth="1"/>
    <col min="9754" max="9985" width="9.140625" style="73"/>
    <col min="9986" max="9986" width="6.85546875" style="73" customWidth="1"/>
    <col min="9987" max="9987" width="2.140625" style="73" customWidth="1"/>
    <col min="9988" max="9988" width="6.140625" style="73" customWidth="1"/>
    <col min="9989" max="9989" width="8.85546875" style="73" customWidth="1"/>
    <col min="9990" max="9990" width="28.42578125" style="73" customWidth="1"/>
    <col min="9991" max="9991" width="13.85546875" style="73" customWidth="1"/>
    <col min="9992" max="9992" width="8.42578125" style="73" customWidth="1"/>
    <col min="9993" max="9996" width="0" style="73" hidden="1" customWidth="1"/>
    <col min="9997" max="9997" width="5.28515625" style="73" customWidth="1"/>
    <col min="9998" max="9998" width="5.5703125" style="73" customWidth="1"/>
    <col min="9999" max="9999" width="6" style="73" customWidth="1"/>
    <col min="10000" max="10000" width="5.5703125" style="73" customWidth="1"/>
    <col min="10001" max="10002" width="5.7109375" style="73" customWidth="1"/>
    <col min="10003" max="10003" width="9.85546875" style="73" customWidth="1"/>
    <col min="10004" max="10004" width="9.7109375" style="73" customWidth="1"/>
    <col min="10005" max="10005" width="8.85546875" style="73" customWidth="1"/>
    <col min="10006" max="10006" width="10" style="73" customWidth="1"/>
    <col min="10007" max="10007" width="8.28515625" style="73" customWidth="1"/>
    <col min="10008" max="10008" width="9.5703125" style="73" customWidth="1"/>
    <col min="10009" max="10009" width="15.5703125" style="73" customWidth="1"/>
    <col min="10010" max="10241" width="9.140625" style="73"/>
    <col min="10242" max="10242" width="6.85546875" style="73" customWidth="1"/>
    <col min="10243" max="10243" width="2.140625" style="73" customWidth="1"/>
    <col min="10244" max="10244" width="6.140625" style="73" customWidth="1"/>
    <col min="10245" max="10245" width="8.85546875" style="73" customWidth="1"/>
    <col min="10246" max="10246" width="28.42578125" style="73" customWidth="1"/>
    <col min="10247" max="10247" width="13.85546875" style="73" customWidth="1"/>
    <col min="10248" max="10248" width="8.42578125" style="73" customWidth="1"/>
    <col min="10249" max="10252" width="0" style="73" hidden="1" customWidth="1"/>
    <col min="10253" max="10253" width="5.28515625" style="73" customWidth="1"/>
    <col min="10254" max="10254" width="5.5703125" style="73" customWidth="1"/>
    <col min="10255" max="10255" width="6" style="73" customWidth="1"/>
    <col min="10256" max="10256" width="5.5703125" style="73" customWidth="1"/>
    <col min="10257" max="10258" width="5.7109375" style="73" customWidth="1"/>
    <col min="10259" max="10259" width="9.85546875" style="73" customWidth="1"/>
    <col min="10260" max="10260" width="9.7109375" style="73" customWidth="1"/>
    <col min="10261" max="10261" width="8.85546875" style="73" customWidth="1"/>
    <col min="10262" max="10262" width="10" style="73" customWidth="1"/>
    <col min="10263" max="10263" width="8.28515625" style="73" customWidth="1"/>
    <col min="10264" max="10264" width="9.5703125" style="73" customWidth="1"/>
    <col min="10265" max="10265" width="15.5703125" style="73" customWidth="1"/>
    <col min="10266" max="10497" width="9.140625" style="73"/>
    <col min="10498" max="10498" width="6.85546875" style="73" customWidth="1"/>
    <col min="10499" max="10499" width="2.140625" style="73" customWidth="1"/>
    <col min="10500" max="10500" width="6.140625" style="73" customWidth="1"/>
    <col min="10501" max="10501" width="8.85546875" style="73" customWidth="1"/>
    <col min="10502" max="10502" width="28.42578125" style="73" customWidth="1"/>
    <col min="10503" max="10503" width="13.85546875" style="73" customWidth="1"/>
    <col min="10504" max="10504" width="8.42578125" style="73" customWidth="1"/>
    <col min="10505" max="10508" width="0" style="73" hidden="1" customWidth="1"/>
    <col min="10509" max="10509" width="5.28515625" style="73" customWidth="1"/>
    <col min="10510" max="10510" width="5.5703125" style="73" customWidth="1"/>
    <col min="10511" max="10511" width="6" style="73" customWidth="1"/>
    <col min="10512" max="10512" width="5.5703125" style="73" customWidth="1"/>
    <col min="10513" max="10514" width="5.7109375" style="73" customWidth="1"/>
    <col min="10515" max="10515" width="9.85546875" style="73" customWidth="1"/>
    <col min="10516" max="10516" width="9.7109375" style="73" customWidth="1"/>
    <col min="10517" max="10517" width="8.85546875" style="73" customWidth="1"/>
    <col min="10518" max="10518" width="10" style="73" customWidth="1"/>
    <col min="10519" max="10519" width="8.28515625" style="73" customWidth="1"/>
    <col min="10520" max="10520" width="9.5703125" style="73" customWidth="1"/>
    <col min="10521" max="10521" width="15.5703125" style="73" customWidth="1"/>
    <col min="10522" max="10753" width="9.140625" style="73"/>
    <col min="10754" max="10754" width="6.85546875" style="73" customWidth="1"/>
    <col min="10755" max="10755" width="2.140625" style="73" customWidth="1"/>
    <col min="10756" max="10756" width="6.140625" style="73" customWidth="1"/>
    <col min="10757" max="10757" width="8.85546875" style="73" customWidth="1"/>
    <col min="10758" max="10758" width="28.42578125" style="73" customWidth="1"/>
    <col min="10759" max="10759" width="13.85546875" style="73" customWidth="1"/>
    <col min="10760" max="10760" width="8.42578125" style="73" customWidth="1"/>
    <col min="10761" max="10764" width="0" style="73" hidden="1" customWidth="1"/>
    <col min="10765" max="10765" width="5.28515625" style="73" customWidth="1"/>
    <col min="10766" max="10766" width="5.5703125" style="73" customWidth="1"/>
    <col min="10767" max="10767" width="6" style="73" customWidth="1"/>
    <col min="10768" max="10768" width="5.5703125" style="73" customWidth="1"/>
    <col min="10769" max="10770" width="5.7109375" style="73" customWidth="1"/>
    <col min="10771" max="10771" width="9.85546875" style="73" customWidth="1"/>
    <col min="10772" max="10772" width="9.7109375" style="73" customWidth="1"/>
    <col min="10773" max="10773" width="8.85546875" style="73" customWidth="1"/>
    <col min="10774" max="10774" width="10" style="73" customWidth="1"/>
    <col min="10775" max="10775" width="8.28515625" style="73" customWidth="1"/>
    <col min="10776" max="10776" width="9.5703125" style="73" customWidth="1"/>
    <col min="10777" max="10777" width="15.5703125" style="73" customWidth="1"/>
    <col min="10778" max="11009" width="9.140625" style="73"/>
    <col min="11010" max="11010" width="6.85546875" style="73" customWidth="1"/>
    <col min="11011" max="11011" width="2.140625" style="73" customWidth="1"/>
    <col min="11012" max="11012" width="6.140625" style="73" customWidth="1"/>
    <col min="11013" max="11013" width="8.85546875" style="73" customWidth="1"/>
    <col min="11014" max="11014" width="28.42578125" style="73" customWidth="1"/>
    <col min="11015" max="11015" width="13.85546875" style="73" customWidth="1"/>
    <col min="11016" max="11016" width="8.42578125" style="73" customWidth="1"/>
    <col min="11017" max="11020" width="0" style="73" hidden="1" customWidth="1"/>
    <col min="11021" max="11021" width="5.28515625" style="73" customWidth="1"/>
    <col min="11022" max="11022" width="5.5703125" style="73" customWidth="1"/>
    <col min="11023" max="11023" width="6" style="73" customWidth="1"/>
    <col min="11024" max="11024" width="5.5703125" style="73" customWidth="1"/>
    <col min="11025" max="11026" width="5.7109375" style="73" customWidth="1"/>
    <col min="11027" max="11027" width="9.85546875" style="73" customWidth="1"/>
    <col min="11028" max="11028" width="9.7109375" style="73" customWidth="1"/>
    <col min="11029" max="11029" width="8.85546875" style="73" customWidth="1"/>
    <col min="11030" max="11030" width="10" style="73" customWidth="1"/>
    <col min="11031" max="11031" width="8.28515625" style="73" customWidth="1"/>
    <col min="11032" max="11032" width="9.5703125" style="73" customWidth="1"/>
    <col min="11033" max="11033" width="15.5703125" style="73" customWidth="1"/>
    <col min="11034" max="11265" width="9.140625" style="73"/>
    <col min="11266" max="11266" width="6.85546875" style="73" customWidth="1"/>
    <col min="11267" max="11267" width="2.140625" style="73" customWidth="1"/>
    <col min="11268" max="11268" width="6.140625" style="73" customWidth="1"/>
    <col min="11269" max="11269" width="8.85546875" style="73" customWidth="1"/>
    <col min="11270" max="11270" width="28.42578125" style="73" customWidth="1"/>
    <col min="11271" max="11271" width="13.85546875" style="73" customWidth="1"/>
    <col min="11272" max="11272" width="8.42578125" style="73" customWidth="1"/>
    <col min="11273" max="11276" width="0" style="73" hidden="1" customWidth="1"/>
    <col min="11277" max="11277" width="5.28515625" style="73" customWidth="1"/>
    <col min="11278" max="11278" width="5.5703125" style="73" customWidth="1"/>
    <col min="11279" max="11279" width="6" style="73" customWidth="1"/>
    <col min="11280" max="11280" width="5.5703125" style="73" customWidth="1"/>
    <col min="11281" max="11282" width="5.7109375" style="73" customWidth="1"/>
    <col min="11283" max="11283" width="9.85546875" style="73" customWidth="1"/>
    <col min="11284" max="11284" width="9.7109375" style="73" customWidth="1"/>
    <col min="11285" max="11285" width="8.85546875" style="73" customWidth="1"/>
    <col min="11286" max="11286" width="10" style="73" customWidth="1"/>
    <col min="11287" max="11287" width="8.28515625" style="73" customWidth="1"/>
    <col min="11288" max="11288" width="9.5703125" style="73" customWidth="1"/>
    <col min="11289" max="11289" width="15.5703125" style="73" customWidth="1"/>
    <col min="11290" max="11521" width="9.140625" style="73"/>
    <col min="11522" max="11522" width="6.85546875" style="73" customWidth="1"/>
    <col min="11523" max="11523" width="2.140625" style="73" customWidth="1"/>
    <col min="11524" max="11524" width="6.140625" style="73" customWidth="1"/>
    <col min="11525" max="11525" width="8.85546875" style="73" customWidth="1"/>
    <col min="11526" max="11526" width="28.42578125" style="73" customWidth="1"/>
    <col min="11527" max="11527" width="13.85546875" style="73" customWidth="1"/>
    <col min="11528" max="11528" width="8.42578125" style="73" customWidth="1"/>
    <col min="11529" max="11532" width="0" style="73" hidden="1" customWidth="1"/>
    <col min="11533" max="11533" width="5.28515625" style="73" customWidth="1"/>
    <col min="11534" max="11534" width="5.5703125" style="73" customWidth="1"/>
    <col min="11535" max="11535" width="6" style="73" customWidth="1"/>
    <col min="11536" max="11536" width="5.5703125" style="73" customWidth="1"/>
    <col min="11537" max="11538" width="5.7109375" style="73" customWidth="1"/>
    <col min="11539" max="11539" width="9.85546875" style="73" customWidth="1"/>
    <col min="11540" max="11540" width="9.7109375" style="73" customWidth="1"/>
    <col min="11541" max="11541" width="8.85546875" style="73" customWidth="1"/>
    <col min="11542" max="11542" width="10" style="73" customWidth="1"/>
    <col min="11543" max="11543" width="8.28515625" style="73" customWidth="1"/>
    <col min="11544" max="11544" width="9.5703125" style="73" customWidth="1"/>
    <col min="11545" max="11545" width="15.5703125" style="73" customWidth="1"/>
    <col min="11546" max="11777" width="9.140625" style="73"/>
    <col min="11778" max="11778" width="6.85546875" style="73" customWidth="1"/>
    <col min="11779" max="11779" width="2.140625" style="73" customWidth="1"/>
    <col min="11780" max="11780" width="6.140625" style="73" customWidth="1"/>
    <col min="11781" max="11781" width="8.85546875" style="73" customWidth="1"/>
    <col min="11782" max="11782" width="28.42578125" style="73" customWidth="1"/>
    <col min="11783" max="11783" width="13.85546875" style="73" customWidth="1"/>
    <col min="11784" max="11784" width="8.42578125" style="73" customWidth="1"/>
    <col min="11785" max="11788" width="0" style="73" hidden="1" customWidth="1"/>
    <col min="11789" max="11789" width="5.28515625" style="73" customWidth="1"/>
    <col min="11790" max="11790" width="5.5703125" style="73" customWidth="1"/>
    <col min="11791" max="11791" width="6" style="73" customWidth="1"/>
    <col min="11792" max="11792" width="5.5703125" style="73" customWidth="1"/>
    <col min="11793" max="11794" width="5.7109375" style="73" customWidth="1"/>
    <col min="11795" max="11795" width="9.85546875" style="73" customWidth="1"/>
    <col min="11796" max="11796" width="9.7109375" style="73" customWidth="1"/>
    <col min="11797" max="11797" width="8.85546875" style="73" customWidth="1"/>
    <col min="11798" max="11798" width="10" style="73" customWidth="1"/>
    <col min="11799" max="11799" width="8.28515625" style="73" customWidth="1"/>
    <col min="11800" max="11800" width="9.5703125" style="73" customWidth="1"/>
    <col min="11801" max="11801" width="15.5703125" style="73" customWidth="1"/>
    <col min="11802" max="12033" width="9.140625" style="73"/>
    <col min="12034" max="12034" width="6.85546875" style="73" customWidth="1"/>
    <col min="12035" max="12035" width="2.140625" style="73" customWidth="1"/>
    <col min="12036" max="12036" width="6.140625" style="73" customWidth="1"/>
    <col min="12037" max="12037" width="8.85546875" style="73" customWidth="1"/>
    <col min="12038" max="12038" width="28.42578125" style="73" customWidth="1"/>
    <col min="12039" max="12039" width="13.85546875" style="73" customWidth="1"/>
    <col min="12040" max="12040" width="8.42578125" style="73" customWidth="1"/>
    <col min="12041" max="12044" width="0" style="73" hidden="1" customWidth="1"/>
    <col min="12045" max="12045" width="5.28515625" style="73" customWidth="1"/>
    <col min="12046" max="12046" width="5.5703125" style="73" customWidth="1"/>
    <col min="12047" max="12047" width="6" style="73" customWidth="1"/>
    <col min="12048" max="12048" width="5.5703125" style="73" customWidth="1"/>
    <col min="12049" max="12050" width="5.7109375" style="73" customWidth="1"/>
    <col min="12051" max="12051" width="9.85546875" style="73" customWidth="1"/>
    <col min="12052" max="12052" width="9.7109375" style="73" customWidth="1"/>
    <col min="12053" max="12053" width="8.85546875" style="73" customWidth="1"/>
    <col min="12054" max="12054" width="10" style="73" customWidth="1"/>
    <col min="12055" max="12055" width="8.28515625" style="73" customWidth="1"/>
    <col min="12056" max="12056" width="9.5703125" style="73" customWidth="1"/>
    <col min="12057" max="12057" width="15.5703125" style="73" customWidth="1"/>
    <col min="12058" max="12289" width="9.140625" style="73"/>
    <col min="12290" max="12290" width="6.85546875" style="73" customWidth="1"/>
    <col min="12291" max="12291" width="2.140625" style="73" customWidth="1"/>
    <col min="12292" max="12292" width="6.140625" style="73" customWidth="1"/>
    <col min="12293" max="12293" width="8.85546875" style="73" customWidth="1"/>
    <col min="12294" max="12294" width="28.42578125" style="73" customWidth="1"/>
    <col min="12295" max="12295" width="13.85546875" style="73" customWidth="1"/>
    <col min="12296" max="12296" width="8.42578125" style="73" customWidth="1"/>
    <col min="12297" max="12300" width="0" style="73" hidden="1" customWidth="1"/>
    <col min="12301" max="12301" width="5.28515625" style="73" customWidth="1"/>
    <col min="12302" max="12302" width="5.5703125" style="73" customWidth="1"/>
    <col min="12303" max="12303" width="6" style="73" customWidth="1"/>
    <col min="12304" max="12304" width="5.5703125" style="73" customWidth="1"/>
    <col min="12305" max="12306" width="5.7109375" style="73" customWidth="1"/>
    <col min="12307" max="12307" width="9.85546875" style="73" customWidth="1"/>
    <col min="12308" max="12308" width="9.7109375" style="73" customWidth="1"/>
    <col min="12309" max="12309" width="8.85546875" style="73" customWidth="1"/>
    <col min="12310" max="12310" width="10" style="73" customWidth="1"/>
    <col min="12311" max="12311" width="8.28515625" style="73" customWidth="1"/>
    <col min="12312" max="12312" width="9.5703125" style="73" customWidth="1"/>
    <col min="12313" max="12313" width="15.5703125" style="73" customWidth="1"/>
    <col min="12314" max="12545" width="9.140625" style="73"/>
    <col min="12546" max="12546" width="6.85546875" style="73" customWidth="1"/>
    <col min="12547" max="12547" width="2.140625" style="73" customWidth="1"/>
    <col min="12548" max="12548" width="6.140625" style="73" customWidth="1"/>
    <col min="12549" max="12549" width="8.85546875" style="73" customWidth="1"/>
    <col min="12550" max="12550" width="28.42578125" style="73" customWidth="1"/>
    <col min="12551" max="12551" width="13.85546875" style="73" customWidth="1"/>
    <col min="12552" max="12552" width="8.42578125" style="73" customWidth="1"/>
    <col min="12553" max="12556" width="0" style="73" hidden="1" customWidth="1"/>
    <col min="12557" max="12557" width="5.28515625" style="73" customWidth="1"/>
    <col min="12558" max="12558" width="5.5703125" style="73" customWidth="1"/>
    <col min="12559" max="12559" width="6" style="73" customWidth="1"/>
    <col min="12560" max="12560" width="5.5703125" style="73" customWidth="1"/>
    <col min="12561" max="12562" width="5.7109375" style="73" customWidth="1"/>
    <col min="12563" max="12563" width="9.85546875" style="73" customWidth="1"/>
    <col min="12564" max="12564" width="9.7109375" style="73" customWidth="1"/>
    <col min="12565" max="12565" width="8.85546875" style="73" customWidth="1"/>
    <col min="12566" max="12566" width="10" style="73" customWidth="1"/>
    <col min="12567" max="12567" width="8.28515625" style="73" customWidth="1"/>
    <col min="12568" max="12568" width="9.5703125" style="73" customWidth="1"/>
    <col min="12569" max="12569" width="15.5703125" style="73" customWidth="1"/>
    <col min="12570" max="12801" width="9.140625" style="73"/>
    <col min="12802" max="12802" width="6.85546875" style="73" customWidth="1"/>
    <col min="12803" max="12803" width="2.140625" style="73" customWidth="1"/>
    <col min="12804" max="12804" width="6.140625" style="73" customWidth="1"/>
    <col min="12805" max="12805" width="8.85546875" style="73" customWidth="1"/>
    <col min="12806" max="12806" width="28.42578125" style="73" customWidth="1"/>
    <col min="12807" max="12807" width="13.85546875" style="73" customWidth="1"/>
    <col min="12808" max="12808" width="8.42578125" style="73" customWidth="1"/>
    <col min="12809" max="12812" width="0" style="73" hidden="1" customWidth="1"/>
    <col min="12813" max="12813" width="5.28515625" style="73" customWidth="1"/>
    <col min="12814" max="12814" width="5.5703125" style="73" customWidth="1"/>
    <col min="12815" max="12815" width="6" style="73" customWidth="1"/>
    <col min="12816" max="12816" width="5.5703125" style="73" customWidth="1"/>
    <col min="12817" max="12818" width="5.7109375" style="73" customWidth="1"/>
    <col min="12819" max="12819" width="9.85546875" style="73" customWidth="1"/>
    <col min="12820" max="12820" width="9.7109375" style="73" customWidth="1"/>
    <col min="12821" max="12821" width="8.85546875" style="73" customWidth="1"/>
    <col min="12822" max="12822" width="10" style="73" customWidth="1"/>
    <col min="12823" max="12823" width="8.28515625" style="73" customWidth="1"/>
    <col min="12824" max="12824" width="9.5703125" style="73" customWidth="1"/>
    <col min="12825" max="12825" width="15.5703125" style="73" customWidth="1"/>
    <col min="12826" max="13057" width="9.140625" style="73"/>
    <col min="13058" max="13058" width="6.85546875" style="73" customWidth="1"/>
    <col min="13059" max="13059" width="2.140625" style="73" customWidth="1"/>
    <col min="13060" max="13060" width="6.140625" style="73" customWidth="1"/>
    <col min="13061" max="13061" width="8.85546875" style="73" customWidth="1"/>
    <col min="13062" max="13062" width="28.42578125" style="73" customWidth="1"/>
    <col min="13063" max="13063" width="13.85546875" style="73" customWidth="1"/>
    <col min="13064" max="13064" width="8.42578125" style="73" customWidth="1"/>
    <col min="13065" max="13068" width="0" style="73" hidden="1" customWidth="1"/>
    <col min="13069" max="13069" width="5.28515625" style="73" customWidth="1"/>
    <col min="13070" max="13070" width="5.5703125" style="73" customWidth="1"/>
    <col min="13071" max="13071" width="6" style="73" customWidth="1"/>
    <col min="13072" max="13072" width="5.5703125" style="73" customWidth="1"/>
    <col min="13073" max="13074" width="5.7109375" style="73" customWidth="1"/>
    <col min="13075" max="13075" width="9.85546875" style="73" customWidth="1"/>
    <col min="13076" max="13076" width="9.7109375" style="73" customWidth="1"/>
    <col min="13077" max="13077" width="8.85546875" style="73" customWidth="1"/>
    <col min="13078" max="13078" width="10" style="73" customWidth="1"/>
    <col min="13079" max="13079" width="8.28515625" style="73" customWidth="1"/>
    <col min="13080" max="13080" width="9.5703125" style="73" customWidth="1"/>
    <col min="13081" max="13081" width="15.5703125" style="73" customWidth="1"/>
    <col min="13082" max="13313" width="9.140625" style="73"/>
    <col min="13314" max="13314" width="6.85546875" style="73" customWidth="1"/>
    <col min="13315" max="13315" width="2.140625" style="73" customWidth="1"/>
    <col min="13316" max="13316" width="6.140625" style="73" customWidth="1"/>
    <col min="13317" max="13317" width="8.85546875" style="73" customWidth="1"/>
    <col min="13318" max="13318" width="28.42578125" style="73" customWidth="1"/>
    <col min="13319" max="13319" width="13.85546875" style="73" customWidth="1"/>
    <col min="13320" max="13320" width="8.42578125" style="73" customWidth="1"/>
    <col min="13321" max="13324" width="0" style="73" hidden="1" customWidth="1"/>
    <col min="13325" max="13325" width="5.28515625" style="73" customWidth="1"/>
    <col min="13326" max="13326" width="5.5703125" style="73" customWidth="1"/>
    <col min="13327" max="13327" width="6" style="73" customWidth="1"/>
    <col min="13328" max="13328" width="5.5703125" style="73" customWidth="1"/>
    <col min="13329" max="13330" width="5.7109375" style="73" customWidth="1"/>
    <col min="13331" max="13331" width="9.85546875" style="73" customWidth="1"/>
    <col min="13332" max="13332" width="9.7109375" style="73" customWidth="1"/>
    <col min="13333" max="13333" width="8.85546875" style="73" customWidth="1"/>
    <col min="13334" max="13334" width="10" style="73" customWidth="1"/>
    <col min="13335" max="13335" width="8.28515625" style="73" customWidth="1"/>
    <col min="13336" max="13336" width="9.5703125" style="73" customWidth="1"/>
    <col min="13337" max="13337" width="15.5703125" style="73" customWidth="1"/>
    <col min="13338" max="13569" width="9.140625" style="73"/>
    <col min="13570" max="13570" width="6.85546875" style="73" customWidth="1"/>
    <col min="13571" max="13571" width="2.140625" style="73" customWidth="1"/>
    <col min="13572" max="13572" width="6.140625" style="73" customWidth="1"/>
    <col min="13573" max="13573" width="8.85546875" style="73" customWidth="1"/>
    <col min="13574" max="13574" width="28.42578125" style="73" customWidth="1"/>
    <col min="13575" max="13575" width="13.85546875" style="73" customWidth="1"/>
    <col min="13576" max="13576" width="8.42578125" style="73" customWidth="1"/>
    <col min="13577" max="13580" width="0" style="73" hidden="1" customWidth="1"/>
    <col min="13581" max="13581" width="5.28515625" style="73" customWidth="1"/>
    <col min="13582" max="13582" width="5.5703125" style="73" customWidth="1"/>
    <col min="13583" max="13583" width="6" style="73" customWidth="1"/>
    <col min="13584" max="13584" width="5.5703125" style="73" customWidth="1"/>
    <col min="13585" max="13586" width="5.7109375" style="73" customWidth="1"/>
    <col min="13587" max="13587" width="9.85546875" style="73" customWidth="1"/>
    <col min="13588" max="13588" width="9.7109375" style="73" customWidth="1"/>
    <col min="13589" max="13589" width="8.85546875" style="73" customWidth="1"/>
    <col min="13590" max="13590" width="10" style="73" customWidth="1"/>
    <col min="13591" max="13591" width="8.28515625" style="73" customWidth="1"/>
    <col min="13592" max="13592" width="9.5703125" style="73" customWidth="1"/>
    <col min="13593" max="13593" width="15.5703125" style="73" customWidth="1"/>
    <col min="13594" max="13825" width="9.140625" style="73"/>
    <col min="13826" max="13826" width="6.85546875" style="73" customWidth="1"/>
    <col min="13827" max="13827" width="2.140625" style="73" customWidth="1"/>
    <col min="13828" max="13828" width="6.140625" style="73" customWidth="1"/>
    <col min="13829" max="13829" width="8.85546875" style="73" customWidth="1"/>
    <col min="13830" max="13830" width="28.42578125" style="73" customWidth="1"/>
    <col min="13831" max="13831" width="13.85546875" style="73" customWidth="1"/>
    <col min="13832" max="13832" width="8.42578125" style="73" customWidth="1"/>
    <col min="13833" max="13836" width="0" style="73" hidden="1" customWidth="1"/>
    <col min="13837" max="13837" width="5.28515625" style="73" customWidth="1"/>
    <col min="13838" max="13838" width="5.5703125" style="73" customWidth="1"/>
    <col min="13839" max="13839" width="6" style="73" customWidth="1"/>
    <col min="13840" max="13840" width="5.5703125" style="73" customWidth="1"/>
    <col min="13841" max="13842" width="5.7109375" style="73" customWidth="1"/>
    <col min="13843" max="13843" width="9.85546875" style="73" customWidth="1"/>
    <col min="13844" max="13844" width="9.7109375" style="73" customWidth="1"/>
    <col min="13845" max="13845" width="8.85546875" style="73" customWidth="1"/>
    <col min="13846" max="13846" width="10" style="73" customWidth="1"/>
    <col min="13847" max="13847" width="8.28515625" style="73" customWidth="1"/>
    <col min="13848" max="13848" width="9.5703125" style="73" customWidth="1"/>
    <col min="13849" max="13849" width="15.5703125" style="73" customWidth="1"/>
    <col min="13850" max="14081" width="9.140625" style="73"/>
    <col min="14082" max="14082" width="6.85546875" style="73" customWidth="1"/>
    <col min="14083" max="14083" width="2.140625" style="73" customWidth="1"/>
    <col min="14084" max="14084" width="6.140625" style="73" customWidth="1"/>
    <col min="14085" max="14085" width="8.85546875" style="73" customWidth="1"/>
    <col min="14086" max="14086" width="28.42578125" style="73" customWidth="1"/>
    <col min="14087" max="14087" width="13.85546875" style="73" customWidth="1"/>
    <col min="14088" max="14088" width="8.42578125" style="73" customWidth="1"/>
    <col min="14089" max="14092" width="0" style="73" hidden="1" customWidth="1"/>
    <col min="14093" max="14093" width="5.28515625" style="73" customWidth="1"/>
    <col min="14094" max="14094" width="5.5703125" style="73" customWidth="1"/>
    <col min="14095" max="14095" width="6" style="73" customWidth="1"/>
    <col min="14096" max="14096" width="5.5703125" style="73" customWidth="1"/>
    <col min="14097" max="14098" width="5.7109375" style="73" customWidth="1"/>
    <col min="14099" max="14099" width="9.85546875" style="73" customWidth="1"/>
    <col min="14100" max="14100" width="9.7109375" style="73" customWidth="1"/>
    <col min="14101" max="14101" width="8.85546875" style="73" customWidth="1"/>
    <col min="14102" max="14102" width="10" style="73" customWidth="1"/>
    <col min="14103" max="14103" width="8.28515625" style="73" customWidth="1"/>
    <col min="14104" max="14104" width="9.5703125" style="73" customWidth="1"/>
    <col min="14105" max="14105" width="15.5703125" style="73" customWidth="1"/>
    <col min="14106" max="14337" width="9.140625" style="73"/>
    <col min="14338" max="14338" width="6.85546875" style="73" customWidth="1"/>
    <col min="14339" max="14339" width="2.140625" style="73" customWidth="1"/>
    <col min="14340" max="14340" width="6.140625" style="73" customWidth="1"/>
    <col min="14341" max="14341" width="8.85546875" style="73" customWidth="1"/>
    <col min="14342" max="14342" width="28.42578125" style="73" customWidth="1"/>
    <col min="14343" max="14343" width="13.85546875" style="73" customWidth="1"/>
    <col min="14344" max="14344" width="8.42578125" style="73" customWidth="1"/>
    <col min="14345" max="14348" width="0" style="73" hidden="1" customWidth="1"/>
    <col min="14349" max="14349" width="5.28515625" style="73" customWidth="1"/>
    <col min="14350" max="14350" width="5.5703125" style="73" customWidth="1"/>
    <col min="14351" max="14351" width="6" style="73" customWidth="1"/>
    <col min="14352" max="14352" width="5.5703125" style="73" customWidth="1"/>
    <col min="14353" max="14354" width="5.7109375" style="73" customWidth="1"/>
    <col min="14355" max="14355" width="9.85546875" style="73" customWidth="1"/>
    <col min="14356" max="14356" width="9.7109375" style="73" customWidth="1"/>
    <col min="14357" max="14357" width="8.85546875" style="73" customWidth="1"/>
    <col min="14358" max="14358" width="10" style="73" customWidth="1"/>
    <col min="14359" max="14359" width="8.28515625" style="73" customWidth="1"/>
    <col min="14360" max="14360" width="9.5703125" style="73" customWidth="1"/>
    <col min="14361" max="14361" width="15.5703125" style="73" customWidth="1"/>
    <col min="14362" max="14593" width="9.140625" style="73"/>
    <col min="14594" max="14594" width="6.85546875" style="73" customWidth="1"/>
    <col min="14595" max="14595" width="2.140625" style="73" customWidth="1"/>
    <col min="14596" max="14596" width="6.140625" style="73" customWidth="1"/>
    <col min="14597" max="14597" width="8.85546875" style="73" customWidth="1"/>
    <col min="14598" max="14598" width="28.42578125" style="73" customWidth="1"/>
    <col min="14599" max="14599" width="13.85546875" style="73" customWidth="1"/>
    <col min="14600" max="14600" width="8.42578125" style="73" customWidth="1"/>
    <col min="14601" max="14604" width="0" style="73" hidden="1" customWidth="1"/>
    <col min="14605" max="14605" width="5.28515625" style="73" customWidth="1"/>
    <col min="14606" max="14606" width="5.5703125" style="73" customWidth="1"/>
    <col min="14607" max="14607" width="6" style="73" customWidth="1"/>
    <col min="14608" max="14608" width="5.5703125" style="73" customWidth="1"/>
    <col min="14609" max="14610" width="5.7109375" style="73" customWidth="1"/>
    <col min="14611" max="14611" width="9.85546875" style="73" customWidth="1"/>
    <col min="14612" max="14612" width="9.7109375" style="73" customWidth="1"/>
    <col min="14613" max="14613" width="8.85546875" style="73" customWidth="1"/>
    <col min="14614" max="14614" width="10" style="73" customWidth="1"/>
    <col min="14615" max="14615" width="8.28515625" style="73" customWidth="1"/>
    <col min="14616" max="14616" width="9.5703125" style="73" customWidth="1"/>
    <col min="14617" max="14617" width="15.5703125" style="73" customWidth="1"/>
    <col min="14618" max="14849" width="9.140625" style="73"/>
    <col min="14850" max="14850" width="6.85546875" style="73" customWidth="1"/>
    <col min="14851" max="14851" width="2.140625" style="73" customWidth="1"/>
    <col min="14852" max="14852" width="6.140625" style="73" customWidth="1"/>
    <col min="14853" max="14853" width="8.85546875" style="73" customWidth="1"/>
    <col min="14854" max="14854" width="28.42578125" style="73" customWidth="1"/>
    <col min="14855" max="14855" width="13.85546875" style="73" customWidth="1"/>
    <col min="14856" max="14856" width="8.42578125" style="73" customWidth="1"/>
    <col min="14857" max="14860" width="0" style="73" hidden="1" customWidth="1"/>
    <col min="14861" max="14861" width="5.28515625" style="73" customWidth="1"/>
    <col min="14862" max="14862" width="5.5703125" style="73" customWidth="1"/>
    <col min="14863" max="14863" width="6" style="73" customWidth="1"/>
    <col min="14864" max="14864" width="5.5703125" style="73" customWidth="1"/>
    <col min="14865" max="14866" width="5.7109375" style="73" customWidth="1"/>
    <col min="14867" max="14867" width="9.85546875" style="73" customWidth="1"/>
    <col min="14868" max="14868" width="9.7109375" style="73" customWidth="1"/>
    <col min="14869" max="14869" width="8.85546875" style="73" customWidth="1"/>
    <col min="14870" max="14870" width="10" style="73" customWidth="1"/>
    <col min="14871" max="14871" width="8.28515625" style="73" customWidth="1"/>
    <col min="14872" max="14872" width="9.5703125" style="73" customWidth="1"/>
    <col min="14873" max="14873" width="15.5703125" style="73" customWidth="1"/>
    <col min="14874" max="15105" width="9.140625" style="73"/>
    <col min="15106" max="15106" width="6.85546875" style="73" customWidth="1"/>
    <col min="15107" max="15107" width="2.140625" style="73" customWidth="1"/>
    <col min="15108" max="15108" width="6.140625" style="73" customWidth="1"/>
    <col min="15109" max="15109" width="8.85546875" style="73" customWidth="1"/>
    <col min="15110" max="15110" width="28.42578125" style="73" customWidth="1"/>
    <col min="15111" max="15111" width="13.85546875" style="73" customWidth="1"/>
    <col min="15112" max="15112" width="8.42578125" style="73" customWidth="1"/>
    <col min="15113" max="15116" width="0" style="73" hidden="1" customWidth="1"/>
    <col min="15117" max="15117" width="5.28515625" style="73" customWidth="1"/>
    <col min="15118" max="15118" width="5.5703125" style="73" customWidth="1"/>
    <col min="15119" max="15119" width="6" style="73" customWidth="1"/>
    <col min="15120" max="15120" width="5.5703125" style="73" customWidth="1"/>
    <col min="15121" max="15122" width="5.7109375" style="73" customWidth="1"/>
    <col min="15123" max="15123" width="9.85546875" style="73" customWidth="1"/>
    <col min="15124" max="15124" width="9.7109375" style="73" customWidth="1"/>
    <col min="15125" max="15125" width="8.85546875" style="73" customWidth="1"/>
    <col min="15126" max="15126" width="10" style="73" customWidth="1"/>
    <col min="15127" max="15127" width="8.28515625" style="73" customWidth="1"/>
    <col min="15128" max="15128" width="9.5703125" style="73" customWidth="1"/>
    <col min="15129" max="15129" width="15.5703125" style="73" customWidth="1"/>
    <col min="15130" max="15361" width="9.140625" style="73"/>
    <col min="15362" max="15362" width="6.85546875" style="73" customWidth="1"/>
    <col min="15363" max="15363" width="2.140625" style="73" customWidth="1"/>
    <col min="15364" max="15364" width="6.140625" style="73" customWidth="1"/>
    <col min="15365" max="15365" width="8.85546875" style="73" customWidth="1"/>
    <col min="15366" max="15366" width="28.42578125" style="73" customWidth="1"/>
    <col min="15367" max="15367" width="13.85546875" style="73" customWidth="1"/>
    <col min="15368" max="15368" width="8.42578125" style="73" customWidth="1"/>
    <col min="15369" max="15372" width="0" style="73" hidden="1" customWidth="1"/>
    <col min="15373" max="15373" width="5.28515625" style="73" customWidth="1"/>
    <col min="15374" max="15374" width="5.5703125" style="73" customWidth="1"/>
    <col min="15375" max="15375" width="6" style="73" customWidth="1"/>
    <col min="15376" max="15376" width="5.5703125" style="73" customWidth="1"/>
    <col min="15377" max="15378" width="5.7109375" style="73" customWidth="1"/>
    <col min="15379" max="15379" width="9.85546875" style="73" customWidth="1"/>
    <col min="15380" max="15380" width="9.7109375" style="73" customWidth="1"/>
    <col min="15381" max="15381" width="8.85546875" style="73" customWidth="1"/>
    <col min="15382" max="15382" width="10" style="73" customWidth="1"/>
    <col min="15383" max="15383" width="8.28515625" style="73" customWidth="1"/>
    <col min="15384" max="15384" width="9.5703125" style="73" customWidth="1"/>
    <col min="15385" max="15385" width="15.5703125" style="73" customWidth="1"/>
    <col min="15386" max="15617" width="9.140625" style="73"/>
    <col min="15618" max="15618" width="6.85546875" style="73" customWidth="1"/>
    <col min="15619" max="15619" width="2.140625" style="73" customWidth="1"/>
    <col min="15620" max="15620" width="6.140625" style="73" customWidth="1"/>
    <col min="15621" max="15621" width="8.85546875" style="73" customWidth="1"/>
    <col min="15622" max="15622" width="28.42578125" style="73" customWidth="1"/>
    <col min="15623" max="15623" width="13.85546875" style="73" customWidth="1"/>
    <col min="15624" max="15624" width="8.42578125" style="73" customWidth="1"/>
    <col min="15625" max="15628" width="0" style="73" hidden="1" customWidth="1"/>
    <col min="15629" max="15629" width="5.28515625" style="73" customWidth="1"/>
    <col min="15630" max="15630" width="5.5703125" style="73" customWidth="1"/>
    <col min="15631" max="15631" width="6" style="73" customWidth="1"/>
    <col min="15632" max="15632" width="5.5703125" style="73" customWidth="1"/>
    <col min="15633" max="15634" width="5.7109375" style="73" customWidth="1"/>
    <col min="15635" max="15635" width="9.85546875" style="73" customWidth="1"/>
    <col min="15636" max="15636" width="9.7109375" style="73" customWidth="1"/>
    <col min="15637" max="15637" width="8.85546875" style="73" customWidth="1"/>
    <col min="15638" max="15638" width="10" style="73" customWidth="1"/>
    <col min="15639" max="15639" width="8.28515625" style="73" customWidth="1"/>
    <col min="15640" max="15640" width="9.5703125" style="73" customWidth="1"/>
    <col min="15641" max="15641" width="15.5703125" style="73" customWidth="1"/>
    <col min="15642" max="15873" width="9.140625" style="73"/>
    <col min="15874" max="15874" width="6.85546875" style="73" customWidth="1"/>
    <col min="15875" max="15875" width="2.140625" style="73" customWidth="1"/>
    <col min="15876" max="15876" width="6.140625" style="73" customWidth="1"/>
    <col min="15877" max="15877" width="8.85546875" style="73" customWidth="1"/>
    <col min="15878" max="15878" width="28.42578125" style="73" customWidth="1"/>
    <col min="15879" max="15879" width="13.85546875" style="73" customWidth="1"/>
    <col min="15880" max="15880" width="8.42578125" style="73" customWidth="1"/>
    <col min="15881" max="15884" width="0" style="73" hidden="1" customWidth="1"/>
    <col min="15885" max="15885" width="5.28515625" style="73" customWidth="1"/>
    <col min="15886" max="15886" width="5.5703125" style="73" customWidth="1"/>
    <col min="15887" max="15887" width="6" style="73" customWidth="1"/>
    <col min="15888" max="15888" width="5.5703125" style="73" customWidth="1"/>
    <col min="15889" max="15890" width="5.7109375" style="73" customWidth="1"/>
    <col min="15891" max="15891" width="9.85546875" style="73" customWidth="1"/>
    <col min="15892" max="15892" width="9.7109375" style="73" customWidth="1"/>
    <col min="15893" max="15893" width="8.85546875" style="73" customWidth="1"/>
    <col min="15894" max="15894" width="10" style="73" customWidth="1"/>
    <col min="15895" max="15895" width="8.28515625" style="73" customWidth="1"/>
    <col min="15896" max="15896" width="9.5703125" style="73" customWidth="1"/>
    <col min="15897" max="15897" width="15.5703125" style="73" customWidth="1"/>
    <col min="15898" max="16129" width="9.140625" style="73"/>
    <col min="16130" max="16130" width="6.85546875" style="73" customWidth="1"/>
    <col min="16131" max="16131" width="2.140625" style="73" customWidth="1"/>
    <col min="16132" max="16132" width="6.140625" style="73" customWidth="1"/>
    <col min="16133" max="16133" width="8.85546875" style="73" customWidth="1"/>
    <col min="16134" max="16134" width="28.42578125" style="73" customWidth="1"/>
    <col min="16135" max="16135" width="13.85546875" style="73" customWidth="1"/>
    <col min="16136" max="16136" width="8.42578125" style="73" customWidth="1"/>
    <col min="16137" max="16140" width="0" style="73" hidden="1" customWidth="1"/>
    <col min="16141" max="16141" width="5.28515625" style="73" customWidth="1"/>
    <col min="16142" max="16142" width="5.5703125" style="73" customWidth="1"/>
    <col min="16143" max="16143" width="6" style="73" customWidth="1"/>
    <col min="16144" max="16144" width="5.5703125" style="73" customWidth="1"/>
    <col min="16145" max="16146" width="5.7109375" style="73" customWidth="1"/>
    <col min="16147" max="16147" width="9.85546875" style="73" customWidth="1"/>
    <col min="16148" max="16148" width="9.7109375" style="73" customWidth="1"/>
    <col min="16149" max="16149" width="8.85546875" style="73" customWidth="1"/>
    <col min="16150" max="16150" width="10" style="73" customWidth="1"/>
    <col min="16151" max="16151" width="8.28515625" style="73" customWidth="1"/>
    <col min="16152" max="16152" width="9.5703125" style="73" customWidth="1"/>
    <col min="16153" max="16153" width="15.5703125" style="73" customWidth="1"/>
    <col min="16154" max="16384" width="9.140625" style="73"/>
  </cols>
  <sheetData>
    <row r="1" spans="1:37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"/>
      <c r="AE1" s="1"/>
      <c r="AF1" s="1"/>
      <c r="AG1" s="1"/>
    </row>
    <row r="2" spans="1:37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"/>
      <c r="AE2" s="2"/>
      <c r="AF2" s="2"/>
      <c r="AG2" s="2"/>
    </row>
    <row r="3" spans="1:37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"/>
      <c r="AE3" s="2"/>
      <c r="AF3" s="2"/>
      <c r="AG3" s="2"/>
    </row>
    <row r="4" spans="1:37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</row>
    <row r="5" spans="1:37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7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4"/>
      <c r="AE6" s="4"/>
      <c r="AF6" s="4"/>
    </row>
    <row r="7" spans="1:37" s="6" customFormat="1" ht="18.75" customHeight="1">
      <c r="A7" s="5" t="s">
        <v>6</v>
      </c>
      <c r="C7" s="7"/>
      <c r="D7" s="7" t="s">
        <v>55</v>
      </c>
      <c r="E7" s="7"/>
      <c r="F7" s="7"/>
      <c r="G7" s="5"/>
    </row>
    <row r="8" spans="1:37" s="8" customFormat="1" ht="18.75" customHeight="1">
      <c r="A8" s="5" t="s">
        <v>7</v>
      </c>
      <c r="C8" s="9"/>
      <c r="D8" s="10">
        <v>4500457758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7" s="8" customFormat="1" ht="18.75" customHeight="1">
      <c r="A9" s="12"/>
      <c r="C9" s="81"/>
      <c r="D9" s="13" t="s">
        <v>56</v>
      </c>
      <c r="E9" s="13"/>
      <c r="F9" s="14"/>
      <c r="G9" s="10" t="s">
        <v>45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8" customFormat="1" ht="18.75" customHeight="1">
      <c r="A10" s="12"/>
      <c r="C10" s="81"/>
      <c r="D10" s="334" t="s">
        <v>57</v>
      </c>
      <c r="E10" s="334"/>
      <c r="F10" s="334"/>
      <c r="G10" s="33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8.75" customHeight="1">
      <c r="A11" s="12"/>
      <c r="C11" s="81"/>
      <c r="D11" s="16"/>
      <c r="E11" s="16"/>
      <c r="F11" s="14"/>
      <c r="G11" s="10"/>
      <c r="H11" s="7" t="s">
        <v>51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 t="s">
        <v>101</v>
      </c>
      <c r="T11" s="6"/>
      <c r="U11" s="6"/>
      <c r="V11" s="6"/>
      <c r="W11" s="6"/>
    </row>
    <row r="12" spans="1:37" s="8" customFormat="1" ht="18.75" customHeight="1" thickBot="1">
      <c r="A12" s="12" t="s">
        <v>9</v>
      </c>
      <c r="C12" s="250">
        <f>+T23</f>
        <v>750</v>
      </c>
      <c r="D12" s="250"/>
      <c r="E12" s="81"/>
      <c r="F12" s="14"/>
      <c r="G12" s="10"/>
      <c r="H12" s="9" t="s">
        <v>100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8" t="str">
        <f>+D9</f>
        <v>BI STRETCH GRID JACKET -HUSKY</v>
      </c>
      <c r="T12" s="19"/>
      <c r="U12" s="19"/>
      <c r="V12" s="19"/>
      <c r="W12" s="19"/>
    </row>
    <row r="13" spans="1:37" s="22" customFormat="1" ht="22.5" customHeight="1" thickBot="1">
      <c r="A13" s="251" t="s">
        <v>11</v>
      </c>
      <c r="B13" s="252"/>
      <c r="C13" s="253"/>
      <c r="D13" s="260" t="s">
        <v>65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0"/>
      <c r="Q13" s="230"/>
      <c r="R13" s="231"/>
      <c r="S13" s="232" t="s">
        <v>66</v>
      </c>
      <c r="T13" s="235" t="s">
        <v>19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24" t="s">
        <v>52</v>
      </c>
      <c r="AA13" s="238" t="s">
        <v>25</v>
      </c>
      <c r="AB13" s="239"/>
      <c r="AC13" s="240"/>
      <c r="AD13" s="224" t="s">
        <v>26</v>
      </c>
    </row>
    <row r="14" spans="1:37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 t="s">
        <v>58</v>
      </c>
      <c r="J14" s="227" t="s">
        <v>59</v>
      </c>
      <c r="K14" s="227" t="s">
        <v>60</v>
      </c>
      <c r="L14" s="227" t="s">
        <v>61</v>
      </c>
      <c r="M14" s="227" t="s">
        <v>62</v>
      </c>
      <c r="N14" s="227" t="s">
        <v>63</v>
      </c>
      <c r="O14" s="227" t="s">
        <v>64</v>
      </c>
      <c r="P14" s="215" t="s">
        <v>53</v>
      </c>
      <c r="Q14" s="217" t="s">
        <v>27</v>
      </c>
      <c r="R14" s="211" t="s">
        <v>28</v>
      </c>
      <c r="S14" s="233"/>
      <c r="T14" s="236"/>
      <c r="U14" s="23"/>
      <c r="V14" s="23"/>
      <c r="W14" s="23"/>
      <c r="X14" s="24"/>
      <c r="Y14" s="236"/>
      <c r="Z14" s="225"/>
      <c r="AA14" s="241"/>
      <c r="AB14" s="242"/>
      <c r="AC14" s="243"/>
      <c r="AD14" s="225"/>
    </row>
    <row r="15" spans="1:37" s="22" customFormat="1" ht="24" customHeight="1" thickBot="1">
      <c r="A15" s="257"/>
      <c r="B15" s="258"/>
      <c r="C15" s="259"/>
      <c r="D15" s="262"/>
      <c r="E15" s="262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6"/>
      <c r="Q15" s="218"/>
      <c r="R15" s="212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226"/>
      <c r="AA15" s="26" t="s">
        <v>4</v>
      </c>
      <c r="AB15" s="26" t="s">
        <v>30</v>
      </c>
      <c r="AC15" s="26" t="s">
        <v>31</v>
      </c>
      <c r="AD15" s="226"/>
    </row>
    <row r="16" spans="1:37" s="42" customFormat="1" ht="27.75" customHeight="1">
      <c r="A16" s="87">
        <v>1</v>
      </c>
      <c r="B16" s="88" t="s">
        <v>32</v>
      </c>
      <c r="C16" s="87">
        <f t="shared" ref="C16:C22" si="0">+A16+D16-1</f>
        <v>54</v>
      </c>
      <c r="D16" s="29">
        <f>+T16/S16</f>
        <v>54</v>
      </c>
      <c r="E16" s="85" t="s">
        <v>72</v>
      </c>
      <c r="F16" s="28" t="str">
        <f>+D7</f>
        <v>361043K-404-PC</v>
      </c>
      <c r="G16" s="28" t="s">
        <v>48</v>
      </c>
      <c r="H16" s="30">
        <f>+D8</f>
        <v>4500457758</v>
      </c>
      <c r="I16" s="31">
        <v>1</v>
      </c>
      <c r="J16" s="31"/>
      <c r="K16" s="31"/>
      <c r="L16" s="31"/>
      <c r="M16" s="31"/>
      <c r="N16" s="31"/>
      <c r="O16" s="31"/>
      <c r="P16" s="30"/>
      <c r="Q16" s="30"/>
      <c r="R16" s="30"/>
      <c r="S16" s="28">
        <f t="shared" ref="S16:S22" si="1">+SUM(I16:O16)</f>
        <v>1</v>
      </c>
      <c r="T16" s="28">
        <v>54</v>
      </c>
      <c r="U16" s="32">
        <f t="shared" ref="U16:V20" si="2">+U17-0.2</f>
        <v>0.75000000000000022</v>
      </c>
      <c r="V16" s="32">
        <f t="shared" si="2"/>
        <v>0.80000000000000027</v>
      </c>
      <c r="W16" s="33">
        <f t="shared" ref="W16:W22" si="3">+U16*D16</f>
        <v>40.500000000000014</v>
      </c>
      <c r="X16" s="34">
        <f t="shared" ref="X16:X22" si="4">+V16*D16</f>
        <v>43.200000000000017</v>
      </c>
      <c r="Y16" s="35"/>
      <c r="Z16" s="89" t="s">
        <v>67</v>
      </c>
      <c r="AA16" s="37"/>
      <c r="AB16" s="38"/>
      <c r="AC16" s="37"/>
      <c r="AD16" s="36"/>
      <c r="AE16" s="39" t="e">
        <f>+RIGHT((#REF!),6)</f>
        <v>#REF!</v>
      </c>
      <c r="AF16" s="40" t="e">
        <f>+AE16-D16+1</f>
        <v>#REF!</v>
      </c>
      <c r="AG16" s="41" t="e">
        <f>+AE16-AF16+1</f>
        <v>#REF!</v>
      </c>
      <c r="AH16" s="41" t="e">
        <f>+AG16-D16</f>
        <v>#REF!</v>
      </c>
    </row>
    <row r="17" spans="1:35" s="42" customFormat="1" ht="27.75" customHeight="1">
      <c r="A17" s="27">
        <f>+C16+1</f>
        <v>55</v>
      </c>
      <c r="B17" s="28" t="s">
        <v>32</v>
      </c>
      <c r="C17" s="27">
        <f t="shared" si="0"/>
        <v>138</v>
      </c>
      <c r="D17" s="29">
        <f t="shared" ref="D17:D22" si="5">+T17/S17</f>
        <v>84</v>
      </c>
      <c r="E17" s="85" t="s">
        <v>73</v>
      </c>
      <c r="F17" s="28" t="str">
        <f>+F16</f>
        <v>361043K-404-PC</v>
      </c>
      <c r="G17" s="28" t="str">
        <f>+G16</f>
        <v>404 BANK BLUE</v>
      </c>
      <c r="H17" s="30">
        <f>+H16</f>
        <v>4500457758</v>
      </c>
      <c r="I17" s="31"/>
      <c r="J17" s="31">
        <v>1</v>
      </c>
      <c r="K17" s="31"/>
      <c r="L17" s="31"/>
      <c r="M17" s="31"/>
      <c r="N17" s="31"/>
      <c r="O17" s="31"/>
      <c r="P17" s="30"/>
      <c r="Q17" s="30"/>
      <c r="R17" s="30"/>
      <c r="S17" s="28">
        <f t="shared" si="1"/>
        <v>1</v>
      </c>
      <c r="T17" s="28">
        <v>84</v>
      </c>
      <c r="U17" s="32">
        <f t="shared" si="2"/>
        <v>0.95000000000000018</v>
      </c>
      <c r="V17" s="32">
        <f t="shared" si="2"/>
        <v>1.0000000000000002</v>
      </c>
      <c r="W17" s="33">
        <f t="shared" si="3"/>
        <v>79.800000000000011</v>
      </c>
      <c r="X17" s="34">
        <f t="shared" si="4"/>
        <v>84.000000000000014</v>
      </c>
      <c r="Y17" s="35"/>
      <c r="Z17" s="89" t="s">
        <v>67</v>
      </c>
      <c r="AA17" s="37"/>
      <c r="AB17" s="38"/>
      <c r="AC17" s="37"/>
      <c r="AD17" s="35"/>
      <c r="AE17" s="36"/>
      <c r="AF17" s="39" t="e">
        <f>+RIGHT((#REF!),6)</f>
        <v>#REF!</v>
      </c>
      <c r="AG17" s="40" t="e">
        <f>+AF17-D17+1</f>
        <v>#REF!</v>
      </c>
      <c r="AH17" s="41" t="e">
        <f>+AF17-AG17+1</f>
        <v>#REF!</v>
      </c>
      <c r="AI17" s="41" t="e">
        <f>+AH17-D17</f>
        <v>#REF!</v>
      </c>
    </row>
    <row r="18" spans="1:35" s="42" customFormat="1" ht="27.75" customHeight="1">
      <c r="A18" s="27">
        <f t="shared" ref="A18:A22" si="6">+C17+1</f>
        <v>139</v>
      </c>
      <c r="B18" s="88" t="s">
        <v>32</v>
      </c>
      <c r="C18" s="27">
        <f t="shared" si="0"/>
        <v>234</v>
      </c>
      <c r="D18" s="29">
        <f t="shared" si="5"/>
        <v>96</v>
      </c>
      <c r="E18" s="85" t="s">
        <v>74</v>
      </c>
      <c r="F18" s="28" t="str">
        <f t="shared" ref="F18:H22" si="7">+F17</f>
        <v>361043K-404-PC</v>
      </c>
      <c r="G18" s="28" t="str">
        <f t="shared" si="7"/>
        <v>404 BANK BLUE</v>
      </c>
      <c r="H18" s="30">
        <f t="shared" si="7"/>
        <v>4500457758</v>
      </c>
      <c r="I18" s="31"/>
      <c r="J18" s="31"/>
      <c r="K18" s="31">
        <v>1</v>
      </c>
      <c r="L18" s="31"/>
      <c r="M18" s="31"/>
      <c r="N18" s="31"/>
      <c r="O18" s="31"/>
      <c r="P18" s="30"/>
      <c r="Q18" s="30"/>
      <c r="R18" s="30"/>
      <c r="S18" s="28">
        <f t="shared" si="1"/>
        <v>1</v>
      </c>
      <c r="T18" s="28">
        <v>96</v>
      </c>
      <c r="U18" s="32">
        <f t="shared" si="2"/>
        <v>1.1500000000000001</v>
      </c>
      <c r="V18" s="32">
        <f t="shared" si="2"/>
        <v>1.2000000000000002</v>
      </c>
      <c r="W18" s="33">
        <f t="shared" si="3"/>
        <v>110.4</v>
      </c>
      <c r="X18" s="34">
        <f t="shared" si="4"/>
        <v>115.20000000000002</v>
      </c>
      <c r="Y18" s="35"/>
      <c r="Z18" s="89" t="s">
        <v>67</v>
      </c>
      <c r="AA18" s="37"/>
      <c r="AB18" s="38"/>
      <c r="AC18" s="37"/>
      <c r="AD18" s="36"/>
      <c r="AE18" s="39" t="e">
        <f>+RIGHT((#REF!),6)</f>
        <v>#REF!</v>
      </c>
      <c r="AF18" s="40" t="e">
        <f>+AE18-D18+1</f>
        <v>#REF!</v>
      </c>
      <c r="AG18" s="41" t="e">
        <f>+AE18-AF18+1</f>
        <v>#REF!</v>
      </c>
      <c r="AH18" s="41" t="e">
        <f>+AG18-D18</f>
        <v>#REF!</v>
      </c>
    </row>
    <row r="19" spans="1:35" s="42" customFormat="1" ht="27.75" customHeight="1">
      <c r="A19" s="27">
        <f t="shared" si="6"/>
        <v>235</v>
      </c>
      <c r="B19" s="28" t="s">
        <v>32</v>
      </c>
      <c r="C19" s="27">
        <f t="shared" si="0"/>
        <v>348</v>
      </c>
      <c r="D19" s="29">
        <f t="shared" si="5"/>
        <v>114</v>
      </c>
      <c r="E19" s="85" t="s">
        <v>75</v>
      </c>
      <c r="F19" s="28" t="str">
        <f t="shared" si="7"/>
        <v>361043K-404-PC</v>
      </c>
      <c r="G19" s="28" t="str">
        <f t="shared" si="7"/>
        <v>404 BANK BLUE</v>
      </c>
      <c r="H19" s="30">
        <f t="shared" si="7"/>
        <v>4500457758</v>
      </c>
      <c r="I19" s="31"/>
      <c r="J19" s="31"/>
      <c r="K19" s="31"/>
      <c r="L19" s="31">
        <v>1</v>
      </c>
      <c r="M19" s="31"/>
      <c r="N19" s="31"/>
      <c r="O19" s="31"/>
      <c r="P19" s="30"/>
      <c r="Q19" s="30"/>
      <c r="R19" s="30"/>
      <c r="S19" s="28">
        <f t="shared" si="1"/>
        <v>1</v>
      </c>
      <c r="T19" s="28">
        <v>114</v>
      </c>
      <c r="U19" s="32">
        <f t="shared" si="2"/>
        <v>1.35</v>
      </c>
      <c r="V19" s="32">
        <f t="shared" si="2"/>
        <v>1.4000000000000001</v>
      </c>
      <c r="W19" s="33">
        <f t="shared" si="3"/>
        <v>153.9</v>
      </c>
      <c r="X19" s="34">
        <f t="shared" si="4"/>
        <v>159.60000000000002</v>
      </c>
      <c r="Y19" s="35"/>
      <c r="Z19" s="89" t="s">
        <v>67</v>
      </c>
      <c r="AA19" s="37"/>
      <c r="AB19" s="38"/>
      <c r="AC19" s="37"/>
      <c r="AD19" s="35"/>
      <c r="AE19" s="36"/>
      <c r="AF19" s="39" t="e">
        <f>+RIGHT((#REF!),6)</f>
        <v>#REF!</v>
      </c>
      <c r="AG19" s="40" t="e">
        <f>+AF19-D19+1</f>
        <v>#REF!</v>
      </c>
      <c r="AH19" s="41" t="e">
        <f>+AF19-AG19+1</f>
        <v>#REF!</v>
      </c>
      <c r="AI19" s="41" t="e">
        <f>+AH19-D19</f>
        <v>#REF!</v>
      </c>
    </row>
    <row r="20" spans="1:35" s="42" customFormat="1" ht="27.75" customHeight="1">
      <c r="A20" s="27">
        <f t="shared" si="6"/>
        <v>349</v>
      </c>
      <c r="B20" s="28" t="s">
        <v>32</v>
      </c>
      <c r="C20" s="27">
        <f t="shared" si="0"/>
        <v>480</v>
      </c>
      <c r="D20" s="29">
        <f t="shared" si="5"/>
        <v>132</v>
      </c>
      <c r="E20" s="85" t="s">
        <v>76</v>
      </c>
      <c r="F20" s="28" t="str">
        <f t="shared" si="7"/>
        <v>361043K-404-PC</v>
      </c>
      <c r="G20" s="28" t="str">
        <f t="shared" si="7"/>
        <v>404 BANK BLUE</v>
      </c>
      <c r="H20" s="30">
        <f t="shared" si="7"/>
        <v>4500457758</v>
      </c>
      <c r="I20" s="31"/>
      <c r="J20" s="31"/>
      <c r="K20" s="31"/>
      <c r="L20" s="31"/>
      <c r="M20" s="31">
        <v>1</v>
      </c>
      <c r="N20" s="31"/>
      <c r="O20" s="31"/>
      <c r="P20" s="30"/>
      <c r="Q20" s="30"/>
      <c r="R20" s="30"/>
      <c r="S20" s="28">
        <f t="shared" si="1"/>
        <v>1</v>
      </c>
      <c r="T20" s="28">
        <v>132</v>
      </c>
      <c r="U20" s="32">
        <f t="shared" si="2"/>
        <v>1.55</v>
      </c>
      <c r="V20" s="32">
        <f t="shared" si="2"/>
        <v>1.6</v>
      </c>
      <c r="W20" s="33">
        <f t="shared" si="3"/>
        <v>204.6</v>
      </c>
      <c r="X20" s="34">
        <f t="shared" si="4"/>
        <v>211.20000000000002</v>
      </c>
      <c r="Y20" s="35"/>
      <c r="Z20" s="89" t="s">
        <v>67</v>
      </c>
      <c r="AA20" s="37"/>
      <c r="AB20" s="38"/>
      <c r="AC20" s="37"/>
      <c r="AD20" s="35"/>
      <c r="AE20" s="36"/>
      <c r="AF20" s="39" t="e">
        <f>+RIGHT((#REF!),6)</f>
        <v>#REF!</v>
      </c>
      <c r="AG20" s="40" t="e">
        <f>+AF20-D20+1</f>
        <v>#REF!</v>
      </c>
      <c r="AH20" s="41" t="e">
        <f>+AF20-AG20+1</f>
        <v>#REF!</v>
      </c>
      <c r="AI20" s="41" t="e">
        <f>+AH20-D20</f>
        <v>#REF!</v>
      </c>
    </row>
    <row r="21" spans="1:35" s="42" customFormat="1" ht="27.75" customHeight="1">
      <c r="A21" s="27">
        <f t="shared" si="6"/>
        <v>481</v>
      </c>
      <c r="B21" s="88" t="s">
        <v>32</v>
      </c>
      <c r="C21" s="27">
        <f t="shared" si="0"/>
        <v>636</v>
      </c>
      <c r="D21" s="29">
        <f t="shared" si="5"/>
        <v>156</v>
      </c>
      <c r="E21" s="85" t="s">
        <v>77</v>
      </c>
      <c r="F21" s="28" t="str">
        <f t="shared" si="7"/>
        <v>361043K-404-PC</v>
      </c>
      <c r="G21" s="28" t="str">
        <f t="shared" si="7"/>
        <v>404 BANK BLUE</v>
      </c>
      <c r="H21" s="30">
        <f t="shared" si="7"/>
        <v>4500457758</v>
      </c>
      <c r="I21" s="31"/>
      <c r="J21" s="31"/>
      <c r="K21" s="31"/>
      <c r="L21" s="31"/>
      <c r="M21" s="31"/>
      <c r="N21" s="31">
        <v>1</v>
      </c>
      <c r="O21" s="31"/>
      <c r="P21" s="30"/>
      <c r="Q21" s="30"/>
      <c r="R21" s="30"/>
      <c r="S21" s="28">
        <f t="shared" si="1"/>
        <v>1</v>
      </c>
      <c r="T21" s="28">
        <v>156</v>
      </c>
      <c r="U21" s="32">
        <f>+U22-0.05</f>
        <v>1.75</v>
      </c>
      <c r="V21" s="32">
        <f>+V22-0.2</f>
        <v>1.8</v>
      </c>
      <c r="W21" s="33">
        <f t="shared" si="3"/>
        <v>273</v>
      </c>
      <c r="X21" s="34">
        <f t="shared" si="4"/>
        <v>280.8</v>
      </c>
      <c r="Y21" s="35"/>
      <c r="Z21" s="89" t="s">
        <v>67</v>
      </c>
      <c r="AA21" s="37"/>
      <c r="AB21" s="38"/>
      <c r="AC21" s="37"/>
      <c r="AD21" s="36"/>
      <c r="AE21" s="39" t="str">
        <f>+RIGHT((E1:E21),6)</f>
        <v>172230</v>
      </c>
      <c r="AF21" s="40">
        <f>+AE21-D21+1</f>
        <v>172075</v>
      </c>
      <c r="AG21" s="41">
        <f>+AE21-AF21+1</f>
        <v>156</v>
      </c>
      <c r="AH21" s="41">
        <f>+AG21-D21</f>
        <v>0</v>
      </c>
    </row>
    <row r="22" spans="1:35" s="42" customFormat="1" ht="27.75" customHeight="1">
      <c r="A22" s="27">
        <f t="shared" si="6"/>
        <v>637</v>
      </c>
      <c r="B22" s="28" t="s">
        <v>32</v>
      </c>
      <c r="C22" s="27">
        <f t="shared" si="0"/>
        <v>750</v>
      </c>
      <c r="D22" s="29">
        <f t="shared" si="5"/>
        <v>114</v>
      </c>
      <c r="E22" s="85" t="s">
        <v>78</v>
      </c>
      <c r="F22" s="28" t="str">
        <f t="shared" si="7"/>
        <v>361043K-404-PC</v>
      </c>
      <c r="G22" s="28" t="str">
        <f t="shared" si="7"/>
        <v>404 BANK BLUE</v>
      </c>
      <c r="H22" s="30">
        <f t="shared" si="7"/>
        <v>4500457758</v>
      </c>
      <c r="I22" s="31"/>
      <c r="J22" s="31"/>
      <c r="K22" s="31"/>
      <c r="L22" s="31"/>
      <c r="M22" s="31"/>
      <c r="N22" s="31"/>
      <c r="O22" s="31">
        <v>1</v>
      </c>
      <c r="P22" s="30"/>
      <c r="Q22" s="30"/>
      <c r="R22" s="30"/>
      <c r="S22" s="28">
        <f t="shared" si="1"/>
        <v>1</v>
      </c>
      <c r="T22" s="28">
        <v>114</v>
      </c>
      <c r="U22" s="32">
        <v>1.8</v>
      </c>
      <c r="V22" s="32">
        <v>2</v>
      </c>
      <c r="W22" s="33">
        <f t="shared" si="3"/>
        <v>205.20000000000002</v>
      </c>
      <c r="X22" s="34">
        <f t="shared" si="4"/>
        <v>228</v>
      </c>
      <c r="Y22" s="35"/>
      <c r="Z22" s="89" t="s">
        <v>67</v>
      </c>
      <c r="AA22" s="37"/>
      <c r="AB22" s="38"/>
      <c r="AC22" s="37"/>
      <c r="AD22" s="35"/>
      <c r="AE22" s="36"/>
      <c r="AF22" s="39" t="str">
        <f>+RIGHT((E2:E22),6)</f>
        <v>172344</v>
      </c>
      <c r="AG22" s="40">
        <f>+AF22-D22+1</f>
        <v>172231</v>
      </c>
      <c r="AH22" s="41">
        <f>+AF22-AG22+1</f>
        <v>114</v>
      </c>
      <c r="AI22" s="41">
        <f>+AH22-D22</f>
        <v>0</v>
      </c>
    </row>
    <row r="23" spans="1:35" s="42" customFormat="1" ht="24" customHeight="1">
      <c r="A23" s="219" t="s">
        <v>33</v>
      </c>
      <c r="B23" s="220"/>
      <c r="C23" s="221"/>
      <c r="D23" s="44">
        <f>SUM(D16:D22)</f>
        <v>750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4">
        <f>SUM(T16:T22)</f>
        <v>750</v>
      </c>
      <c r="U23" s="49"/>
      <c r="V23" s="49"/>
      <c r="W23" s="50">
        <f>SUM(W16:W22)</f>
        <v>1067.4000000000001</v>
      </c>
      <c r="X23" s="50">
        <f>SUM(X16:X22)</f>
        <v>1122</v>
      </c>
      <c r="Y23" s="51"/>
      <c r="Z23" s="90"/>
      <c r="AA23" s="52"/>
      <c r="AB23" s="3"/>
      <c r="AC23" s="53"/>
      <c r="AD23" s="8"/>
      <c r="AE23" s="8"/>
    </row>
    <row r="24" spans="1:35" s="42" customFormat="1" ht="12.75" customHeight="1">
      <c r="A24" s="54"/>
      <c r="B24" s="22"/>
      <c r="C24" s="22"/>
      <c r="D24" s="55"/>
      <c r="E24" s="4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6"/>
      <c r="T24" s="57"/>
      <c r="U24" s="22"/>
      <c r="V24" s="22"/>
      <c r="W24" s="57"/>
      <c r="X24" s="57"/>
      <c r="Y24" s="58"/>
      <c r="Z24" s="58"/>
      <c r="AA24" s="3"/>
      <c r="AB24" s="3"/>
      <c r="AC24" s="53"/>
      <c r="AD24" s="8"/>
      <c r="AE24" s="8"/>
    </row>
    <row r="25" spans="1:35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  <c r="T25" s="60"/>
      <c r="U25" s="22"/>
      <c r="V25" s="56"/>
      <c r="W25" s="57"/>
      <c r="X25" s="57"/>
      <c r="Y25" s="61"/>
      <c r="Z25" s="61"/>
      <c r="AA25" s="3"/>
      <c r="AB25" s="3"/>
      <c r="AC25" s="53"/>
      <c r="AD25" s="8"/>
      <c r="AE25" s="8"/>
    </row>
    <row r="26" spans="1:35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22" t="str">
        <f>+H13</f>
        <v>Po#</v>
      </c>
      <c r="I26" s="213" t="str">
        <f t="shared" ref="I26:O26" si="8">+I14</f>
        <v>8H</v>
      </c>
      <c r="J26" s="213" t="str">
        <f t="shared" si="8"/>
        <v>10H</v>
      </c>
      <c r="K26" s="213" t="str">
        <f t="shared" si="8"/>
        <v>12H</v>
      </c>
      <c r="L26" s="213" t="str">
        <f t="shared" si="8"/>
        <v>14H</v>
      </c>
      <c r="M26" s="213" t="str">
        <f t="shared" si="8"/>
        <v>16H</v>
      </c>
      <c r="N26" s="213" t="str">
        <f t="shared" si="8"/>
        <v>18H</v>
      </c>
      <c r="O26" s="213" t="str">
        <f t="shared" si="8"/>
        <v>20H</v>
      </c>
      <c r="P26" s="335"/>
      <c r="Q26" s="335"/>
      <c r="R26" s="335"/>
      <c r="S26" s="222" t="s">
        <v>35</v>
      </c>
      <c r="T26" s="63"/>
      <c r="U26" s="62"/>
      <c r="V26" s="62"/>
      <c r="W26" s="62"/>
      <c r="X26" s="62"/>
      <c r="Y26" s="61"/>
      <c r="Z26" s="61"/>
      <c r="AD26" s="12"/>
      <c r="AE26" s="12"/>
      <c r="AG26" s="64" t="s">
        <v>54</v>
      </c>
    </row>
    <row r="27" spans="1:35" s="64" customFormat="1" ht="20.25" customHeight="1">
      <c r="B27" s="65"/>
      <c r="C27" s="65"/>
      <c r="D27" s="66"/>
      <c r="E27" s="66"/>
      <c r="F27" s="223"/>
      <c r="G27" s="223"/>
      <c r="H27" s="223"/>
      <c r="I27" s="214"/>
      <c r="J27" s="214" t="str">
        <f>+J14</f>
        <v>10H</v>
      </c>
      <c r="K27" s="214"/>
      <c r="L27" s="214" t="str">
        <f>+L14</f>
        <v>14H</v>
      </c>
      <c r="M27" s="214" t="str">
        <f>+M14</f>
        <v>16H</v>
      </c>
      <c r="N27" s="214" t="str">
        <f>+N14</f>
        <v>18H</v>
      </c>
      <c r="O27" s="214" t="str">
        <f>+O14</f>
        <v>20H</v>
      </c>
      <c r="P27" s="91" t="str">
        <f>P14</f>
        <v>32/38</v>
      </c>
      <c r="Q27" s="91" t="str">
        <f>Q14</f>
        <v>32/40</v>
      </c>
      <c r="R27" s="91" t="str">
        <f>+R14</f>
        <v>32/42</v>
      </c>
      <c r="S27" s="223"/>
      <c r="T27" s="65"/>
      <c r="U27" s="65"/>
      <c r="V27" s="65"/>
      <c r="W27" s="65"/>
      <c r="X27" s="65"/>
      <c r="AD27" s="12"/>
      <c r="AE27" s="12"/>
    </row>
    <row r="28" spans="1:35" s="64" customFormat="1" ht="23.25" customHeight="1">
      <c r="B28" s="65"/>
      <c r="C28" s="65"/>
      <c r="D28" s="65"/>
      <c r="E28" s="65"/>
      <c r="F28" s="67" t="str">
        <f>+F19</f>
        <v>361043K-404-PC</v>
      </c>
      <c r="G28" s="67" t="str">
        <f>+G19</f>
        <v>404 BANK BLUE</v>
      </c>
      <c r="H28" s="30">
        <f>+H19</f>
        <v>4500457758</v>
      </c>
      <c r="I28" s="70">
        <f>+I16*$D$16</f>
        <v>54</v>
      </c>
      <c r="J28" s="70">
        <f t="shared" ref="J28:O28" si="9">+J16*$D$16</f>
        <v>0</v>
      </c>
      <c r="K28" s="70">
        <f t="shared" si="9"/>
        <v>0</v>
      </c>
      <c r="L28" s="70">
        <f t="shared" si="9"/>
        <v>0</v>
      </c>
      <c r="M28" s="70">
        <f t="shared" si="9"/>
        <v>0</v>
      </c>
      <c r="N28" s="70">
        <f t="shared" si="9"/>
        <v>0</v>
      </c>
      <c r="O28" s="70">
        <f t="shared" si="9"/>
        <v>0</v>
      </c>
      <c r="P28" s="70" t="e">
        <f>+#REF!</f>
        <v>#REF!</v>
      </c>
      <c r="Q28" s="70" t="e">
        <f>+#REF!</f>
        <v>#REF!</v>
      </c>
      <c r="R28" s="70" t="e">
        <f>+#REF!</f>
        <v>#REF!</v>
      </c>
      <c r="S28" s="71">
        <f t="shared" ref="S28:S34" si="10">+SUM(I28:O28)</f>
        <v>54</v>
      </c>
      <c r="T28" s="62"/>
      <c r="U28" s="62"/>
      <c r="V28" s="62"/>
      <c r="W28" s="62"/>
      <c r="X28" s="62"/>
      <c r="Y28" s="61"/>
      <c r="Z28" s="61"/>
      <c r="AD28" s="12"/>
      <c r="AE28" s="12"/>
    </row>
    <row r="29" spans="1:35" s="64" customFormat="1" ht="23.25" customHeight="1">
      <c r="B29" s="65"/>
      <c r="C29" s="65"/>
      <c r="D29" s="65"/>
      <c r="E29" s="65"/>
      <c r="F29" s="67" t="str">
        <f>+F28</f>
        <v>361043K-404-PC</v>
      </c>
      <c r="G29" s="67" t="str">
        <f>+G28</f>
        <v>404 BANK BLUE</v>
      </c>
      <c r="H29" s="30">
        <f>+H28</f>
        <v>4500457758</v>
      </c>
      <c r="I29" s="70">
        <f>+I17*$D$17</f>
        <v>0</v>
      </c>
      <c r="J29" s="70">
        <f t="shared" ref="J29:O29" si="11">+J17*$D$17</f>
        <v>84</v>
      </c>
      <c r="K29" s="70">
        <f t="shared" si="11"/>
        <v>0</v>
      </c>
      <c r="L29" s="70">
        <f t="shared" si="11"/>
        <v>0</v>
      </c>
      <c r="M29" s="70">
        <f t="shared" si="11"/>
        <v>0</v>
      </c>
      <c r="N29" s="70">
        <f t="shared" si="11"/>
        <v>0</v>
      </c>
      <c r="O29" s="70">
        <f t="shared" si="11"/>
        <v>0</v>
      </c>
      <c r="P29" s="70" t="e">
        <f>+#REF!</f>
        <v>#REF!</v>
      </c>
      <c r="Q29" s="70" t="e">
        <f>+#REF!</f>
        <v>#REF!</v>
      </c>
      <c r="R29" s="70" t="e">
        <f>+#REF!</f>
        <v>#REF!</v>
      </c>
      <c r="S29" s="71">
        <f t="shared" si="10"/>
        <v>84</v>
      </c>
      <c r="T29" s="62"/>
      <c r="U29" s="62"/>
      <c r="V29" s="62"/>
      <c r="W29" s="62"/>
      <c r="X29" s="62"/>
      <c r="Y29" s="61"/>
      <c r="Z29" s="61"/>
      <c r="AD29" s="61"/>
      <c r="AE29" s="12"/>
      <c r="AF29" s="12"/>
    </row>
    <row r="30" spans="1:35" s="64" customFormat="1" ht="23.25" customHeight="1">
      <c r="B30" s="65"/>
      <c r="C30" s="65"/>
      <c r="D30" s="65"/>
      <c r="E30" s="65"/>
      <c r="F30" s="67" t="str">
        <f>+F18</f>
        <v>361043K-404-PC</v>
      </c>
      <c r="G30" s="67" t="str">
        <f>G34</f>
        <v>404 BANK BLUE</v>
      </c>
      <c r="H30" s="30">
        <f>+H18</f>
        <v>4500457758</v>
      </c>
      <c r="I30" s="70">
        <f>+I18*$D$18</f>
        <v>0</v>
      </c>
      <c r="J30" s="70">
        <f t="shared" ref="J30:O30" si="12">+J18*$D$18</f>
        <v>0</v>
      </c>
      <c r="K30" s="70">
        <f t="shared" si="12"/>
        <v>96</v>
      </c>
      <c r="L30" s="70">
        <f t="shared" si="12"/>
        <v>0</v>
      </c>
      <c r="M30" s="70">
        <f t="shared" si="12"/>
        <v>0</v>
      </c>
      <c r="N30" s="70">
        <f t="shared" si="12"/>
        <v>0</v>
      </c>
      <c r="O30" s="70">
        <f t="shared" si="12"/>
        <v>0</v>
      </c>
      <c r="P30" s="70" t="e">
        <f>+#REF!</f>
        <v>#REF!</v>
      </c>
      <c r="Q30" s="70" t="e">
        <f>+#REF!</f>
        <v>#REF!</v>
      </c>
      <c r="R30" s="70" t="e">
        <f>+#REF!</f>
        <v>#REF!</v>
      </c>
      <c r="S30" s="71">
        <f t="shared" si="10"/>
        <v>96</v>
      </c>
      <c r="T30" s="62"/>
      <c r="U30" s="62"/>
      <c r="V30" s="62"/>
      <c r="W30" s="62"/>
      <c r="X30" s="62"/>
      <c r="Y30" s="61"/>
      <c r="Z30" s="61"/>
      <c r="AD30" s="12"/>
      <c r="AE30" s="12"/>
    </row>
    <row r="31" spans="1:35" s="64" customFormat="1" ht="23.25" customHeight="1">
      <c r="B31" s="65"/>
      <c r="C31" s="65"/>
      <c r="D31" s="65"/>
      <c r="E31" s="65"/>
      <c r="F31" s="67" t="str">
        <f>+F30</f>
        <v>361043K-404-PC</v>
      </c>
      <c r="G31" s="67" t="str">
        <f t="shared" ref="G31:H31" si="13">+G30</f>
        <v>404 BANK BLUE</v>
      </c>
      <c r="H31" s="30">
        <f t="shared" si="13"/>
        <v>4500457758</v>
      </c>
      <c r="I31" s="70">
        <f>+I19*$D$19</f>
        <v>0</v>
      </c>
      <c r="J31" s="70">
        <f t="shared" ref="J31:O31" si="14">+J19*$D$19</f>
        <v>0</v>
      </c>
      <c r="K31" s="70">
        <f t="shared" si="14"/>
        <v>0</v>
      </c>
      <c r="L31" s="70">
        <f t="shared" si="14"/>
        <v>114</v>
      </c>
      <c r="M31" s="70">
        <f t="shared" si="14"/>
        <v>0</v>
      </c>
      <c r="N31" s="70">
        <f t="shared" si="14"/>
        <v>0</v>
      </c>
      <c r="O31" s="70">
        <f t="shared" si="14"/>
        <v>0</v>
      </c>
      <c r="P31" s="70" t="e">
        <f>+#REF!</f>
        <v>#REF!</v>
      </c>
      <c r="Q31" s="70" t="e">
        <f>+#REF!</f>
        <v>#REF!</v>
      </c>
      <c r="R31" s="70" t="e">
        <f>+#REF!</f>
        <v>#REF!</v>
      </c>
      <c r="S31" s="71">
        <f t="shared" si="10"/>
        <v>114</v>
      </c>
      <c r="T31" s="62"/>
      <c r="U31" s="62"/>
      <c r="V31" s="62"/>
      <c r="W31" s="62"/>
      <c r="X31" s="62"/>
      <c r="Y31" s="61"/>
      <c r="Z31" s="61"/>
      <c r="AD31" s="61"/>
      <c r="AE31" s="12"/>
      <c r="AF31" s="12"/>
    </row>
    <row r="32" spans="1:35" s="64" customFormat="1" ht="23.25" customHeight="1">
      <c r="B32" s="65"/>
      <c r="C32" s="65"/>
      <c r="D32" s="65"/>
      <c r="E32" s="65"/>
      <c r="F32" s="67" t="str">
        <f>+F28</f>
        <v>361043K-404-PC</v>
      </c>
      <c r="G32" s="67" t="str">
        <f t="shared" ref="G32:H32" si="15">+G28</f>
        <v>404 BANK BLUE</v>
      </c>
      <c r="H32" s="30">
        <f t="shared" si="15"/>
        <v>4500457758</v>
      </c>
      <c r="I32" s="70">
        <f>+I20*$D$20</f>
        <v>0</v>
      </c>
      <c r="J32" s="70">
        <f t="shared" ref="J32:O32" si="16">+J20*$D$20</f>
        <v>0</v>
      </c>
      <c r="K32" s="70">
        <f t="shared" si="16"/>
        <v>0</v>
      </c>
      <c r="L32" s="70">
        <f t="shared" si="16"/>
        <v>0</v>
      </c>
      <c r="M32" s="70">
        <f t="shared" si="16"/>
        <v>132</v>
      </c>
      <c r="N32" s="70">
        <f t="shared" si="16"/>
        <v>0</v>
      </c>
      <c r="O32" s="70">
        <f t="shared" si="16"/>
        <v>0</v>
      </c>
      <c r="P32" s="70" t="e">
        <f>+#REF!</f>
        <v>#REF!</v>
      </c>
      <c r="Q32" s="70" t="e">
        <f>+#REF!</f>
        <v>#REF!</v>
      </c>
      <c r="R32" s="70" t="e">
        <f>+#REF!</f>
        <v>#REF!</v>
      </c>
      <c r="S32" s="71">
        <f t="shared" si="10"/>
        <v>132</v>
      </c>
      <c r="T32" s="62"/>
      <c r="U32" s="62"/>
      <c r="V32" s="62"/>
      <c r="W32" s="62"/>
      <c r="X32" s="62"/>
      <c r="Y32" s="61"/>
      <c r="Z32" s="61"/>
      <c r="AD32" s="61"/>
      <c r="AE32" s="12"/>
      <c r="AF32" s="12"/>
    </row>
    <row r="33" spans="1:32" s="64" customFormat="1" ht="23.25" customHeight="1">
      <c r="B33" s="65"/>
      <c r="C33" s="65"/>
      <c r="D33" s="65"/>
      <c r="E33" s="65"/>
      <c r="F33" s="67" t="str">
        <f>+F21</f>
        <v>361043K-404-PC</v>
      </c>
      <c r="G33" s="67" t="str">
        <f>+G21</f>
        <v>404 BANK BLUE</v>
      </c>
      <c r="H33" s="30">
        <f>+H21</f>
        <v>4500457758</v>
      </c>
      <c r="I33" s="70">
        <f>+I21*$D$21</f>
        <v>0</v>
      </c>
      <c r="J33" s="70">
        <f t="shared" ref="J33:O33" si="17">+J21*$D$21</f>
        <v>0</v>
      </c>
      <c r="K33" s="70">
        <f t="shared" si="17"/>
        <v>0</v>
      </c>
      <c r="L33" s="70">
        <f t="shared" si="17"/>
        <v>0</v>
      </c>
      <c r="M33" s="70">
        <f t="shared" si="17"/>
        <v>0</v>
      </c>
      <c r="N33" s="70">
        <f t="shared" si="17"/>
        <v>156</v>
      </c>
      <c r="O33" s="70">
        <f t="shared" si="17"/>
        <v>0</v>
      </c>
      <c r="P33" s="70" t="e">
        <f>+#REF!</f>
        <v>#REF!</v>
      </c>
      <c r="Q33" s="70" t="e">
        <f>+#REF!</f>
        <v>#REF!</v>
      </c>
      <c r="R33" s="70" t="e">
        <f>+#REF!</f>
        <v>#REF!</v>
      </c>
      <c r="S33" s="71">
        <f t="shared" si="10"/>
        <v>156</v>
      </c>
      <c r="T33" s="62"/>
      <c r="U33" s="62"/>
      <c r="V33" s="62"/>
      <c r="W33" s="62"/>
      <c r="X33" s="62"/>
      <c r="Y33" s="61"/>
      <c r="Z33" s="61"/>
      <c r="AD33" s="12"/>
      <c r="AE33" s="12"/>
    </row>
    <row r="34" spans="1:32" s="64" customFormat="1" ht="23.25" customHeight="1">
      <c r="B34" s="65"/>
      <c r="C34" s="65"/>
      <c r="D34" s="65"/>
      <c r="E34" s="65"/>
      <c r="F34" s="67" t="str">
        <f>+F33</f>
        <v>361043K-404-PC</v>
      </c>
      <c r="G34" s="67" t="str">
        <f t="shared" ref="G34:H34" si="18">+G33</f>
        <v>404 BANK BLUE</v>
      </c>
      <c r="H34" s="30">
        <f t="shared" si="18"/>
        <v>4500457758</v>
      </c>
      <c r="I34" s="70">
        <f>+I22*$D$22</f>
        <v>0</v>
      </c>
      <c r="J34" s="70">
        <f t="shared" ref="J34:O34" si="19">+J22*$D$22</f>
        <v>0</v>
      </c>
      <c r="K34" s="70">
        <f t="shared" si="19"/>
        <v>0</v>
      </c>
      <c r="L34" s="70">
        <f t="shared" si="19"/>
        <v>0</v>
      </c>
      <c r="M34" s="70">
        <f t="shared" si="19"/>
        <v>0</v>
      </c>
      <c r="N34" s="70">
        <f t="shared" si="19"/>
        <v>0</v>
      </c>
      <c r="O34" s="70">
        <f t="shared" si="19"/>
        <v>114</v>
      </c>
      <c r="P34" s="70" t="e">
        <f>+#REF!</f>
        <v>#REF!</v>
      </c>
      <c r="Q34" s="70" t="e">
        <f>+#REF!</f>
        <v>#REF!</v>
      </c>
      <c r="R34" s="70" t="e">
        <f>+#REF!</f>
        <v>#REF!</v>
      </c>
      <c r="S34" s="71">
        <f t="shared" si="10"/>
        <v>114</v>
      </c>
      <c r="T34" s="62"/>
      <c r="U34" s="62"/>
      <c r="V34" s="62"/>
      <c r="W34" s="62"/>
      <c r="X34" s="62"/>
      <c r="Y34" s="61"/>
      <c r="Z34" s="61"/>
      <c r="AD34" s="61"/>
      <c r="AE34" s="12"/>
      <c r="AF34" s="12"/>
    </row>
    <row r="35" spans="1:32" s="64" customFormat="1" ht="19.5" customHeight="1">
      <c r="A35" s="62"/>
      <c r="B35" s="62"/>
      <c r="C35" s="62"/>
      <c r="D35" s="62"/>
      <c r="E35" s="62"/>
      <c r="F35" s="62"/>
      <c r="G35" s="332" t="s">
        <v>33</v>
      </c>
      <c r="H35" s="333"/>
      <c r="I35" s="71">
        <f>SUM(I28:I34)</f>
        <v>54</v>
      </c>
      <c r="J35" s="71">
        <f t="shared" ref="J35:O35" si="20">SUM(J28:J34)</f>
        <v>84</v>
      </c>
      <c r="K35" s="71">
        <f t="shared" si="20"/>
        <v>96</v>
      </c>
      <c r="L35" s="71">
        <f t="shared" si="20"/>
        <v>114</v>
      </c>
      <c r="M35" s="71">
        <f t="shared" si="20"/>
        <v>132</v>
      </c>
      <c r="N35" s="71">
        <f t="shared" si="20"/>
        <v>156</v>
      </c>
      <c r="O35" s="71">
        <f t="shared" si="20"/>
        <v>114</v>
      </c>
      <c r="P35" s="71" t="e">
        <f t="shared" ref="P35:R35" si="21">SUM(P33:P33)</f>
        <v>#REF!</v>
      </c>
      <c r="Q35" s="71" t="e">
        <f t="shared" si="21"/>
        <v>#REF!</v>
      </c>
      <c r="R35" s="71" t="e">
        <f t="shared" si="21"/>
        <v>#REF!</v>
      </c>
      <c r="S35" s="71">
        <f>SUM(S28:S34)</f>
        <v>750</v>
      </c>
      <c r="T35" s="62"/>
      <c r="U35" s="63"/>
      <c r="V35" s="62"/>
      <c r="W35" s="62"/>
      <c r="X35" s="62"/>
      <c r="Y35" s="61"/>
      <c r="Z35" s="61"/>
    </row>
    <row r="36" spans="1:32">
      <c r="X36" s="74"/>
    </row>
    <row r="37" spans="1:32">
      <c r="K37" s="74" t="s">
        <v>0</v>
      </c>
    </row>
    <row r="39" spans="1:32">
      <c r="T39" s="75"/>
      <c r="U39" s="76"/>
      <c r="V39" s="76"/>
      <c r="W39" s="76"/>
    </row>
    <row r="40" spans="1:32">
      <c r="T40" s="76"/>
      <c r="U40" s="76"/>
      <c r="V40" s="76"/>
      <c r="W40" s="76"/>
    </row>
    <row r="41" spans="1:32">
      <c r="T41" s="76"/>
      <c r="U41" s="76"/>
      <c r="V41" s="76"/>
      <c r="W41" s="76"/>
    </row>
    <row r="42" spans="1:32">
      <c r="G42" s="77"/>
      <c r="T42" s="76"/>
      <c r="U42" s="76"/>
      <c r="V42" s="76"/>
      <c r="W42" s="76"/>
    </row>
    <row r="43" spans="1:32">
      <c r="G43" s="78"/>
      <c r="T43" s="76"/>
      <c r="U43" s="76"/>
      <c r="V43" s="76"/>
      <c r="W43" s="76"/>
    </row>
    <row r="44" spans="1:32">
      <c r="G44" s="77"/>
      <c r="H44" s="77"/>
      <c r="U44" s="76"/>
      <c r="V44" s="76"/>
      <c r="W44" s="76"/>
    </row>
  </sheetData>
  <autoFilter ref="A15:DK23">
    <filterColumn colId="0" showButton="0"/>
    <filterColumn colId="1" showButton="0"/>
  </autoFilter>
  <mergeCells count="44">
    <mergeCell ref="S26:S27"/>
    <mergeCell ref="G35:H35"/>
    <mergeCell ref="D10:G10"/>
    <mergeCell ref="K26:K27"/>
    <mergeCell ref="L26:L27"/>
    <mergeCell ref="M26:M27"/>
    <mergeCell ref="N26:N27"/>
    <mergeCell ref="O26:O27"/>
    <mergeCell ref="P26:R26"/>
    <mergeCell ref="J26:J27"/>
    <mergeCell ref="R14:R15"/>
    <mergeCell ref="H13:H15"/>
    <mergeCell ref="C12:D12"/>
    <mergeCell ref="A23:C23"/>
    <mergeCell ref="F26:F27"/>
    <mergeCell ref="G26:G27"/>
    <mergeCell ref="H26:H27"/>
    <mergeCell ref="I26:I27"/>
    <mergeCell ref="AD13:AD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I13:R13"/>
    <mergeCell ref="S13:S15"/>
    <mergeCell ref="T13:T15"/>
    <mergeCell ref="Y13:Y15"/>
    <mergeCell ref="Z13:Z15"/>
    <mergeCell ref="AA13:AC14"/>
    <mergeCell ref="A13:C15"/>
    <mergeCell ref="D13:D15"/>
    <mergeCell ref="E13:E15"/>
    <mergeCell ref="F13:F15"/>
    <mergeCell ref="G13:G15"/>
    <mergeCell ref="A1:AC1"/>
    <mergeCell ref="A2:AC2"/>
    <mergeCell ref="A3:AC3"/>
    <mergeCell ref="A4:AC4"/>
    <mergeCell ref="A6:AC6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44"/>
  <sheetViews>
    <sheetView view="pageBreakPreview" zoomScale="73" zoomScaleNormal="85" zoomScaleSheetLayoutView="73" workbookViewId="0">
      <pane xSplit="8" ySplit="15" topLeftCell="I16" activePane="bottomRight" state="frozen"/>
      <selection pane="topRight" activeCell="H1" sqref="H1"/>
      <selection pane="bottomLeft" activeCell="A13" sqref="A13"/>
      <selection pane="bottomRight" activeCell="W20" sqref="W20"/>
    </sheetView>
  </sheetViews>
  <sheetFormatPr defaultRowHeight="16.5"/>
  <cols>
    <col min="1" max="1" width="5.7109375" style="73" customWidth="1"/>
    <col min="2" max="2" width="2.140625" style="73" customWidth="1"/>
    <col min="3" max="3" width="5.5703125" style="73" customWidth="1"/>
    <col min="4" max="4" width="14.28515625" style="73" customWidth="1"/>
    <col min="5" max="5" width="31.140625" style="73" customWidth="1"/>
    <col min="6" max="6" width="25.28515625" style="73" customWidth="1"/>
    <col min="7" max="7" width="17.140625" style="73" customWidth="1"/>
    <col min="8" max="8" width="12.85546875" style="73" customWidth="1"/>
    <col min="9" max="10" width="8.28515625" style="73" customWidth="1"/>
    <col min="11" max="12" width="8.42578125" style="73" customWidth="1"/>
    <col min="13" max="15" width="8.28515625" style="73" customWidth="1"/>
    <col min="16" max="16" width="8.28515625" style="73" hidden="1" customWidth="1"/>
    <col min="17" max="17" width="8.5703125" style="73" hidden="1" customWidth="1"/>
    <col min="18" max="18" width="9.140625" style="73" hidden="1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10.7109375" style="73" customWidth="1"/>
    <col min="24" max="24" width="12" style="73" customWidth="1"/>
    <col min="25" max="25" width="8.85546875" style="73" hidden="1" customWidth="1"/>
    <col min="26" max="26" width="15.5703125" style="73" customWidth="1"/>
    <col min="27" max="28" width="11.28515625" style="73" customWidth="1"/>
    <col min="29" max="29" width="9.140625" style="73" customWidth="1"/>
    <col min="30" max="30" width="22.7109375" style="73" customWidth="1"/>
    <col min="31" max="257" width="9.140625" style="73"/>
    <col min="258" max="258" width="6.85546875" style="73" customWidth="1"/>
    <col min="259" max="259" width="2.140625" style="73" customWidth="1"/>
    <col min="260" max="260" width="6.140625" style="73" customWidth="1"/>
    <col min="261" max="261" width="8.85546875" style="73" customWidth="1"/>
    <col min="262" max="262" width="28.42578125" style="73" customWidth="1"/>
    <col min="263" max="263" width="13.85546875" style="73" customWidth="1"/>
    <col min="264" max="264" width="8.42578125" style="73" customWidth="1"/>
    <col min="265" max="268" width="0" style="73" hidden="1" customWidth="1"/>
    <col min="269" max="269" width="5.28515625" style="73" customWidth="1"/>
    <col min="270" max="270" width="5.5703125" style="73" customWidth="1"/>
    <col min="271" max="271" width="6" style="73" customWidth="1"/>
    <col min="272" max="272" width="5.5703125" style="73" customWidth="1"/>
    <col min="273" max="274" width="5.7109375" style="73" customWidth="1"/>
    <col min="275" max="275" width="9.85546875" style="73" customWidth="1"/>
    <col min="276" max="276" width="9.7109375" style="73" customWidth="1"/>
    <col min="277" max="277" width="8.85546875" style="73" customWidth="1"/>
    <col min="278" max="278" width="10" style="73" customWidth="1"/>
    <col min="279" max="279" width="8.28515625" style="73" customWidth="1"/>
    <col min="280" max="280" width="9.5703125" style="73" customWidth="1"/>
    <col min="281" max="281" width="15.5703125" style="73" customWidth="1"/>
    <col min="282" max="513" width="9.140625" style="73"/>
    <col min="514" max="514" width="6.85546875" style="73" customWidth="1"/>
    <col min="515" max="515" width="2.140625" style="73" customWidth="1"/>
    <col min="516" max="516" width="6.140625" style="73" customWidth="1"/>
    <col min="517" max="517" width="8.85546875" style="73" customWidth="1"/>
    <col min="518" max="518" width="28.42578125" style="73" customWidth="1"/>
    <col min="519" max="519" width="13.85546875" style="73" customWidth="1"/>
    <col min="520" max="520" width="8.42578125" style="73" customWidth="1"/>
    <col min="521" max="524" width="0" style="73" hidden="1" customWidth="1"/>
    <col min="525" max="525" width="5.28515625" style="73" customWidth="1"/>
    <col min="526" max="526" width="5.5703125" style="73" customWidth="1"/>
    <col min="527" max="527" width="6" style="73" customWidth="1"/>
    <col min="528" max="528" width="5.5703125" style="73" customWidth="1"/>
    <col min="529" max="530" width="5.7109375" style="73" customWidth="1"/>
    <col min="531" max="531" width="9.85546875" style="73" customWidth="1"/>
    <col min="532" max="532" width="9.7109375" style="73" customWidth="1"/>
    <col min="533" max="533" width="8.85546875" style="73" customWidth="1"/>
    <col min="534" max="534" width="10" style="73" customWidth="1"/>
    <col min="535" max="535" width="8.28515625" style="73" customWidth="1"/>
    <col min="536" max="536" width="9.5703125" style="73" customWidth="1"/>
    <col min="537" max="537" width="15.5703125" style="73" customWidth="1"/>
    <col min="538" max="769" width="9.140625" style="73"/>
    <col min="770" max="770" width="6.85546875" style="73" customWidth="1"/>
    <col min="771" max="771" width="2.140625" style="73" customWidth="1"/>
    <col min="772" max="772" width="6.140625" style="73" customWidth="1"/>
    <col min="773" max="773" width="8.85546875" style="73" customWidth="1"/>
    <col min="774" max="774" width="28.42578125" style="73" customWidth="1"/>
    <col min="775" max="775" width="13.85546875" style="73" customWidth="1"/>
    <col min="776" max="776" width="8.42578125" style="73" customWidth="1"/>
    <col min="777" max="780" width="0" style="73" hidden="1" customWidth="1"/>
    <col min="781" max="781" width="5.28515625" style="73" customWidth="1"/>
    <col min="782" max="782" width="5.5703125" style="73" customWidth="1"/>
    <col min="783" max="783" width="6" style="73" customWidth="1"/>
    <col min="784" max="784" width="5.5703125" style="73" customWidth="1"/>
    <col min="785" max="786" width="5.7109375" style="73" customWidth="1"/>
    <col min="787" max="787" width="9.85546875" style="73" customWidth="1"/>
    <col min="788" max="788" width="9.7109375" style="73" customWidth="1"/>
    <col min="789" max="789" width="8.85546875" style="73" customWidth="1"/>
    <col min="790" max="790" width="10" style="73" customWidth="1"/>
    <col min="791" max="791" width="8.28515625" style="73" customWidth="1"/>
    <col min="792" max="792" width="9.5703125" style="73" customWidth="1"/>
    <col min="793" max="793" width="15.5703125" style="73" customWidth="1"/>
    <col min="794" max="1025" width="9.140625" style="73"/>
    <col min="1026" max="1026" width="6.85546875" style="73" customWidth="1"/>
    <col min="1027" max="1027" width="2.140625" style="73" customWidth="1"/>
    <col min="1028" max="1028" width="6.140625" style="73" customWidth="1"/>
    <col min="1029" max="1029" width="8.85546875" style="73" customWidth="1"/>
    <col min="1030" max="1030" width="28.42578125" style="73" customWidth="1"/>
    <col min="1031" max="1031" width="13.85546875" style="73" customWidth="1"/>
    <col min="1032" max="1032" width="8.42578125" style="73" customWidth="1"/>
    <col min="1033" max="1036" width="0" style="73" hidden="1" customWidth="1"/>
    <col min="1037" max="1037" width="5.28515625" style="73" customWidth="1"/>
    <col min="1038" max="1038" width="5.5703125" style="73" customWidth="1"/>
    <col min="1039" max="1039" width="6" style="73" customWidth="1"/>
    <col min="1040" max="1040" width="5.5703125" style="73" customWidth="1"/>
    <col min="1041" max="1042" width="5.7109375" style="73" customWidth="1"/>
    <col min="1043" max="1043" width="9.85546875" style="73" customWidth="1"/>
    <col min="1044" max="1044" width="9.7109375" style="73" customWidth="1"/>
    <col min="1045" max="1045" width="8.85546875" style="73" customWidth="1"/>
    <col min="1046" max="1046" width="10" style="73" customWidth="1"/>
    <col min="1047" max="1047" width="8.28515625" style="73" customWidth="1"/>
    <col min="1048" max="1048" width="9.5703125" style="73" customWidth="1"/>
    <col min="1049" max="1049" width="15.5703125" style="73" customWidth="1"/>
    <col min="1050" max="1281" width="9.140625" style="73"/>
    <col min="1282" max="1282" width="6.85546875" style="73" customWidth="1"/>
    <col min="1283" max="1283" width="2.140625" style="73" customWidth="1"/>
    <col min="1284" max="1284" width="6.140625" style="73" customWidth="1"/>
    <col min="1285" max="1285" width="8.85546875" style="73" customWidth="1"/>
    <col min="1286" max="1286" width="28.42578125" style="73" customWidth="1"/>
    <col min="1287" max="1287" width="13.85546875" style="73" customWidth="1"/>
    <col min="1288" max="1288" width="8.42578125" style="73" customWidth="1"/>
    <col min="1289" max="1292" width="0" style="73" hidden="1" customWidth="1"/>
    <col min="1293" max="1293" width="5.28515625" style="73" customWidth="1"/>
    <col min="1294" max="1294" width="5.5703125" style="73" customWidth="1"/>
    <col min="1295" max="1295" width="6" style="73" customWidth="1"/>
    <col min="1296" max="1296" width="5.5703125" style="73" customWidth="1"/>
    <col min="1297" max="1298" width="5.7109375" style="73" customWidth="1"/>
    <col min="1299" max="1299" width="9.85546875" style="73" customWidth="1"/>
    <col min="1300" max="1300" width="9.7109375" style="73" customWidth="1"/>
    <col min="1301" max="1301" width="8.85546875" style="73" customWidth="1"/>
    <col min="1302" max="1302" width="10" style="73" customWidth="1"/>
    <col min="1303" max="1303" width="8.28515625" style="73" customWidth="1"/>
    <col min="1304" max="1304" width="9.5703125" style="73" customWidth="1"/>
    <col min="1305" max="1305" width="15.5703125" style="73" customWidth="1"/>
    <col min="1306" max="1537" width="9.140625" style="73"/>
    <col min="1538" max="1538" width="6.85546875" style="73" customWidth="1"/>
    <col min="1539" max="1539" width="2.140625" style="73" customWidth="1"/>
    <col min="1540" max="1540" width="6.140625" style="73" customWidth="1"/>
    <col min="1541" max="1541" width="8.85546875" style="73" customWidth="1"/>
    <col min="1542" max="1542" width="28.42578125" style="73" customWidth="1"/>
    <col min="1543" max="1543" width="13.85546875" style="73" customWidth="1"/>
    <col min="1544" max="1544" width="8.42578125" style="73" customWidth="1"/>
    <col min="1545" max="1548" width="0" style="73" hidden="1" customWidth="1"/>
    <col min="1549" max="1549" width="5.28515625" style="73" customWidth="1"/>
    <col min="1550" max="1550" width="5.5703125" style="73" customWidth="1"/>
    <col min="1551" max="1551" width="6" style="73" customWidth="1"/>
    <col min="1552" max="1552" width="5.5703125" style="73" customWidth="1"/>
    <col min="1553" max="1554" width="5.7109375" style="73" customWidth="1"/>
    <col min="1555" max="1555" width="9.85546875" style="73" customWidth="1"/>
    <col min="1556" max="1556" width="9.7109375" style="73" customWidth="1"/>
    <col min="1557" max="1557" width="8.85546875" style="73" customWidth="1"/>
    <col min="1558" max="1558" width="10" style="73" customWidth="1"/>
    <col min="1559" max="1559" width="8.28515625" style="73" customWidth="1"/>
    <col min="1560" max="1560" width="9.5703125" style="73" customWidth="1"/>
    <col min="1561" max="1561" width="15.5703125" style="73" customWidth="1"/>
    <col min="1562" max="1793" width="9.140625" style="73"/>
    <col min="1794" max="1794" width="6.85546875" style="73" customWidth="1"/>
    <col min="1795" max="1795" width="2.140625" style="73" customWidth="1"/>
    <col min="1796" max="1796" width="6.140625" style="73" customWidth="1"/>
    <col min="1797" max="1797" width="8.85546875" style="73" customWidth="1"/>
    <col min="1798" max="1798" width="28.42578125" style="73" customWidth="1"/>
    <col min="1799" max="1799" width="13.85546875" style="73" customWidth="1"/>
    <col min="1800" max="1800" width="8.42578125" style="73" customWidth="1"/>
    <col min="1801" max="1804" width="0" style="73" hidden="1" customWidth="1"/>
    <col min="1805" max="1805" width="5.28515625" style="73" customWidth="1"/>
    <col min="1806" max="1806" width="5.5703125" style="73" customWidth="1"/>
    <col min="1807" max="1807" width="6" style="73" customWidth="1"/>
    <col min="1808" max="1808" width="5.5703125" style="73" customWidth="1"/>
    <col min="1809" max="1810" width="5.7109375" style="73" customWidth="1"/>
    <col min="1811" max="1811" width="9.85546875" style="73" customWidth="1"/>
    <col min="1812" max="1812" width="9.7109375" style="73" customWidth="1"/>
    <col min="1813" max="1813" width="8.85546875" style="73" customWidth="1"/>
    <col min="1814" max="1814" width="10" style="73" customWidth="1"/>
    <col min="1815" max="1815" width="8.28515625" style="73" customWidth="1"/>
    <col min="1816" max="1816" width="9.5703125" style="73" customWidth="1"/>
    <col min="1817" max="1817" width="15.5703125" style="73" customWidth="1"/>
    <col min="1818" max="2049" width="9.140625" style="73"/>
    <col min="2050" max="2050" width="6.85546875" style="73" customWidth="1"/>
    <col min="2051" max="2051" width="2.140625" style="73" customWidth="1"/>
    <col min="2052" max="2052" width="6.140625" style="73" customWidth="1"/>
    <col min="2053" max="2053" width="8.85546875" style="73" customWidth="1"/>
    <col min="2054" max="2054" width="28.42578125" style="73" customWidth="1"/>
    <col min="2055" max="2055" width="13.85546875" style="73" customWidth="1"/>
    <col min="2056" max="2056" width="8.42578125" style="73" customWidth="1"/>
    <col min="2057" max="2060" width="0" style="73" hidden="1" customWidth="1"/>
    <col min="2061" max="2061" width="5.28515625" style="73" customWidth="1"/>
    <col min="2062" max="2062" width="5.5703125" style="73" customWidth="1"/>
    <col min="2063" max="2063" width="6" style="73" customWidth="1"/>
    <col min="2064" max="2064" width="5.5703125" style="73" customWidth="1"/>
    <col min="2065" max="2066" width="5.7109375" style="73" customWidth="1"/>
    <col min="2067" max="2067" width="9.85546875" style="73" customWidth="1"/>
    <col min="2068" max="2068" width="9.7109375" style="73" customWidth="1"/>
    <col min="2069" max="2069" width="8.85546875" style="73" customWidth="1"/>
    <col min="2070" max="2070" width="10" style="73" customWidth="1"/>
    <col min="2071" max="2071" width="8.28515625" style="73" customWidth="1"/>
    <col min="2072" max="2072" width="9.5703125" style="73" customWidth="1"/>
    <col min="2073" max="2073" width="15.5703125" style="73" customWidth="1"/>
    <col min="2074" max="2305" width="9.140625" style="73"/>
    <col min="2306" max="2306" width="6.85546875" style="73" customWidth="1"/>
    <col min="2307" max="2307" width="2.140625" style="73" customWidth="1"/>
    <col min="2308" max="2308" width="6.140625" style="73" customWidth="1"/>
    <col min="2309" max="2309" width="8.85546875" style="73" customWidth="1"/>
    <col min="2310" max="2310" width="28.42578125" style="73" customWidth="1"/>
    <col min="2311" max="2311" width="13.85546875" style="73" customWidth="1"/>
    <col min="2312" max="2312" width="8.42578125" style="73" customWidth="1"/>
    <col min="2313" max="2316" width="0" style="73" hidden="1" customWidth="1"/>
    <col min="2317" max="2317" width="5.28515625" style="73" customWidth="1"/>
    <col min="2318" max="2318" width="5.5703125" style="73" customWidth="1"/>
    <col min="2319" max="2319" width="6" style="73" customWidth="1"/>
    <col min="2320" max="2320" width="5.5703125" style="73" customWidth="1"/>
    <col min="2321" max="2322" width="5.7109375" style="73" customWidth="1"/>
    <col min="2323" max="2323" width="9.85546875" style="73" customWidth="1"/>
    <col min="2324" max="2324" width="9.7109375" style="73" customWidth="1"/>
    <col min="2325" max="2325" width="8.85546875" style="73" customWidth="1"/>
    <col min="2326" max="2326" width="10" style="73" customWidth="1"/>
    <col min="2327" max="2327" width="8.28515625" style="73" customWidth="1"/>
    <col min="2328" max="2328" width="9.5703125" style="73" customWidth="1"/>
    <col min="2329" max="2329" width="15.5703125" style="73" customWidth="1"/>
    <col min="2330" max="2561" width="9.140625" style="73"/>
    <col min="2562" max="2562" width="6.85546875" style="73" customWidth="1"/>
    <col min="2563" max="2563" width="2.140625" style="73" customWidth="1"/>
    <col min="2564" max="2564" width="6.140625" style="73" customWidth="1"/>
    <col min="2565" max="2565" width="8.85546875" style="73" customWidth="1"/>
    <col min="2566" max="2566" width="28.42578125" style="73" customWidth="1"/>
    <col min="2567" max="2567" width="13.85546875" style="73" customWidth="1"/>
    <col min="2568" max="2568" width="8.42578125" style="73" customWidth="1"/>
    <col min="2569" max="2572" width="0" style="73" hidden="1" customWidth="1"/>
    <col min="2573" max="2573" width="5.28515625" style="73" customWidth="1"/>
    <col min="2574" max="2574" width="5.5703125" style="73" customWidth="1"/>
    <col min="2575" max="2575" width="6" style="73" customWidth="1"/>
    <col min="2576" max="2576" width="5.5703125" style="73" customWidth="1"/>
    <col min="2577" max="2578" width="5.7109375" style="73" customWidth="1"/>
    <col min="2579" max="2579" width="9.85546875" style="73" customWidth="1"/>
    <col min="2580" max="2580" width="9.7109375" style="73" customWidth="1"/>
    <col min="2581" max="2581" width="8.85546875" style="73" customWidth="1"/>
    <col min="2582" max="2582" width="10" style="73" customWidth="1"/>
    <col min="2583" max="2583" width="8.28515625" style="73" customWidth="1"/>
    <col min="2584" max="2584" width="9.5703125" style="73" customWidth="1"/>
    <col min="2585" max="2585" width="15.5703125" style="73" customWidth="1"/>
    <col min="2586" max="2817" width="9.140625" style="73"/>
    <col min="2818" max="2818" width="6.85546875" style="73" customWidth="1"/>
    <col min="2819" max="2819" width="2.140625" style="73" customWidth="1"/>
    <col min="2820" max="2820" width="6.140625" style="73" customWidth="1"/>
    <col min="2821" max="2821" width="8.85546875" style="73" customWidth="1"/>
    <col min="2822" max="2822" width="28.42578125" style="73" customWidth="1"/>
    <col min="2823" max="2823" width="13.85546875" style="73" customWidth="1"/>
    <col min="2824" max="2824" width="8.42578125" style="73" customWidth="1"/>
    <col min="2825" max="2828" width="0" style="73" hidden="1" customWidth="1"/>
    <col min="2829" max="2829" width="5.28515625" style="73" customWidth="1"/>
    <col min="2830" max="2830" width="5.5703125" style="73" customWidth="1"/>
    <col min="2831" max="2831" width="6" style="73" customWidth="1"/>
    <col min="2832" max="2832" width="5.5703125" style="73" customWidth="1"/>
    <col min="2833" max="2834" width="5.7109375" style="73" customWidth="1"/>
    <col min="2835" max="2835" width="9.85546875" style="73" customWidth="1"/>
    <col min="2836" max="2836" width="9.7109375" style="73" customWidth="1"/>
    <col min="2837" max="2837" width="8.85546875" style="73" customWidth="1"/>
    <col min="2838" max="2838" width="10" style="73" customWidth="1"/>
    <col min="2839" max="2839" width="8.28515625" style="73" customWidth="1"/>
    <col min="2840" max="2840" width="9.5703125" style="73" customWidth="1"/>
    <col min="2841" max="2841" width="15.5703125" style="73" customWidth="1"/>
    <col min="2842" max="3073" width="9.140625" style="73"/>
    <col min="3074" max="3074" width="6.85546875" style="73" customWidth="1"/>
    <col min="3075" max="3075" width="2.140625" style="73" customWidth="1"/>
    <col min="3076" max="3076" width="6.140625" style="73" customWidth="1"/>
    <col min="3077" max="3077" width="8.85546875" style="73" customWidth="1"/>
    <col min="3078" max="3078" width="28.42578125" style="73" customWidth="1"/>
    <col min="3079" max="3079" width="13.85546875" style="73" customWidth="1"/>
    <col min="3080" max="3080" width="8.42578125" style="73" customWidth="1"/>
    <col min="3081" max="3084" width="0" style="73" hidden="1" customWidth="1"/>
    <col min="3085" max="3085" width="5.28515625" style="73" customWidth="1"/>
    <col min="3086" max="3086" width="5.5703125" style="73" customWidth="1"/>
    <col min="3087" max="3087" width="6" style="73" customWidth="1"/>
    <col min="3088" max="3088" width="5.5703125" style="73" customWidth="1"/>
    <col min="3089" max="3090" width="5.7109375" style="73" customWidth="1"/>
    <col min="3091" max="3091" width="9.85546875" style="73" customWidth="1"/>
    <col min="3092" max="3092" width="9.7109375" style="73" customWidth="1"/>
    <col min="3093" max="3093" width="8.85546875" style="73" customWidth="1"/>
    <col min="3094" max="3094" width="10" style="73" customWidth="1"/>
    <col min="3095" max="3095" width="8.28515625" style="73" customWidth="1"/>
    <col min="3096" max="3096" width="9.5703125" style="73" customWidth="1"/>
    <col min="3097" max="3097" width="15.5703125" style="73" customWidth="1"/>
    <col min="3098" max="3329" width="9.140625" style="73"/>
    <col min="3330" max="3330" width="6.85546875" style="73" customWidth="1"/>
    <col min="3331" max="3331" width="2.140625" style="73" customWidth="1"/>
    <col min="3332" max="3332" width="6.140625" style="73" customWidth="1"/>
    <col min="3333" max="3333" width="8.85546875" style="73" customWidth="1"/>
    <col min="3334" max="3334" width="28.42578125" style="73" customWidth="1"/>
    <col min="3335" max="3335" width="13.85546875" style="73" customWidth="1"/>
    <col min="3336" max="3336" width="8.42578125" style="73" customWidth="1"/>
    <col min="3337" max="3340" width="0" style="73" hidden="1" customWidth="1"/>
    <col min="3341" max="3341" width="5.28515625" style="73" customWidth="1"/>
    <col min="3342" max="3342" width="5.5703125" style="73" customWidth="1"/>
    <col min="3343" max="3343" width="6" style="73" customWidth="1"/>
    <col min="3344" max="3344" width="5.5703125" style="73" customWidth="1"/>
    <col min="3345" max="3346" width="5.7109375" style="73" customWidth="1"/>
    <col min="3347" max="3347" width="9.85546875" style="73" customWidth="1"/>
    <col min="3348" max="3348" width="9.7109375" style="73" customWidth="1"/>
    <col min="3349" max="3349" width="8.85546875" style="73" customWidth="1"/>
    <col min="3350" max="3350" width="10" style="73" customWidth="1"/>
    <col min="3351" max="3351" width="8.28515625" style="73" customWidth="1"/>
    <col min="3352" max="3352" width="9.5703125" style="73" customWidth="1"/>
    <col min="3353" max="3353" width="15.5703125" style="73" customWidth="1"/>
    <col min="3354" max="3585" width="9.140625" style="73"/>
    <col min="3586" max="3586" width="6.85546875" style="73" customWidth="1"/>
    <col min="3587" max="3587" width="2.140625" style="73" customWidth="1"/>
    <col min="3588" max="3588" width="6.140625" style="73" customWidth="1"/>
    <col min="3589" max="3589" width="8.85546875" style="73" customWidth="1"/>
    <col min="3590" max="3590" width="28.42578125" style="73" customWidth="1"/>
    <col min="3591" max="3591" width="13.85546875" style="73" customWidth="1"/>
    <col min="3592" max="3592" width="8.42578125" style="73" customWidth="1"/>
    <col min="3593" max="3596" width="0" style="73" hidden="1" customWidth="1"/>
    <col min="3597" max="3597" width="5.28515625" style="73" customWidth="1"/>
    <col min="3598" max="3598" width="5.5703125" style="73" customWidth="1"/>
    <col min="3599" max="3599" width="6" style="73" customWidth="1"/>
    <col min="3600" max="3600" width="5.5703125" style="73" customWidth="1"/>
    <col min="3601" max="3602" width="5.7109375" style="73" customWidth="1"/>
    <col min="3603" max="3603" width="9.85546875" style="73" customWidth="1"/>
    <col min="3604" max="3604" width="9.7109375" style="73" customWidth="1"/>
    <col min="3605" max="3605" width="8.85546875" style="73" customWidth="1"/>
    <col min="3606" max="3606" width="10" style="73" customWidth="1"/>
    <col min="3607" max="3607" width="8.28515625" style="73" customWidth="1"/>
    <col min="3608" max="3608" width="9.5703125" style="73" customWidth="1"/>
    <col min="3609" max="3609" width="15.5703125" style="73" customWidth="1"/>
    <col min="3610" max="3841" width="9.140625" style="73"/>
    <col min="3842" max="3842" width="6.85546875" style="73" customWidth="1"/>
    <col min="3843" max="3843" width="2.140625" style="73" customWidth="1"/>
    <col min="3844" max="3844" width="6.140625" style="73" customWidth="1"/>
    <col min="3845" max="3845" width="8.85546875" style="73" customWidth="1"/>
    <col min="3846" max="3846" width="28.42578125" style="73" customWidth="1"/>
    <col min="3847" max="3847" width="13.85546875" style="73" customWidth="1"/>
    <col min="3848" max="3848" width="8.42578125" style="73" customWidth="1"/>
    <col min="3849" max="3852" width="0" style="73" hidden="1" customWidth="1"/>
    <col min="3853" max="3853" width="5.28515625" style="73" customWidth="1"/>
    <col min="3854" max="3854" width="5.5703125" style="73" customWidth="1"/>
    <col min="3855" max="3855" width="6" style="73" customWidth="1"/>
    <col min="3856" max="3856" width="5.5703125" style="73" customWidth="1"/>
    <col min="3857" max="3858" width="5.7109375" style="73" customWidth="1"/>
    <col min="3859" max="3859" width="9.85546875" style="73" customWidth="1"/>
    <col min="3860" max="3860" width="9.7109375" style="73" customWidth="1"/>
    <col min="3861" max="3861" width="8.85546875" style="73" customWidth="1"/>
    <col min="3862" max="3862" width="10" style="73" customWidth="1"/>
    <col min="3863" max="3863" width="8.28515625" style="73" customWidth="1"/>
    <col min="3864" max="3864" width="9.5703125" style="73" customWidth="1"/>
    <col min="3865" max="3865" width="15.5703125" style="73" customWidth="1"/>
    <col min="3866" max="4097" width="9.140625" style="73"/>
    <col min="4098" max="4098" width="6.85546875" style="73" customWidth="1"/>
    <col min="4099" max="4099" width="2.140625" style="73" customWidth="1"/>
    <col min="4100" max="4100" width="6.140625" style="73" customWidth="1"/>
    <col min="4101" max="4101" width="8.85546875" style="73" customWidth="1"/>
    <col min="4102" max="4102" width="28.42578125" style="73" customWidth="1"/>
    <col min="4103" max="4103" width="13.85546875" style="73" customWidth="1"/>
    <col min="4104" max="4104" width="8.42578125" style="73" customWidth="1"/>
    <col min="4105" max="4108" width="0" style="73" hidden="1" customWidth="1"/>
    <col min="4109" max="4109" width="5.28515625" style="73" customWidth="1"/>
    <col min="4110" max="4110" width="5.5703125" style="73" customWidth="1"/>
    <col min="4111" max="4111" width="6" style="73" customWidth="1"/>
    <col min="4112" max="4112" width="5.5703125" style="73" customWidth="1"/>
    <col min="4113" max="4114" width="5.7109375" style="73" customWidth="1"/>
    <col min="4115" max="4115" width="9.85546875" style="73" customWidth="1"/>
    <col min="4116" max="4116" width="9.7109375" style="73" customWidth="1"/>
    <col min="4117" max="4117" width="8.85546875" style="73" customWidth="1"/>
    <col min="4118" max="4118" width="10" style="73" customWidth="1"/>
    <col min="4119" max="4119" width="8.28515625" style="73" customWidth="1"/>
    <col min="4120" max="4120" width="9.5703125" style="73" customWidth="1"/>
    <col min="4121" max="4121" width="15.5703125" style="73" customWidth="1"/>
    <col min="4122" max="4353" width="9.140625" style="73"/>
    <col min="4354" max="4354" width="6.85546875" style="73" customWidth="1"/>
    <col min="4355" max="4355" width="2.140625" style="73" customWidth="1"/>
    <col min="4356" max="4356" width="6.140625" style="73" customWidth="1"/>
    <col min="4357" max="4357" width="8.85546875" style="73" customWidth="1"/>
    <col min="4358" max="4358" width="28.42578125" style="73" customWidth="1"/>
    <col min="4359" max="4359" width="13.85546875" style="73" customWidth="1"/>
    <col min="4360" max="4360" width="8.42578125" style="73" customWidth="1"/>
    <col min="4361" max="4364" width="0" style="73" hidden="1" customWidth="1"/>
    <col min="4365" max="4365" width="5.28515625" style="73" customWidth="1"/>
    <col min="4366" max="4366" width="5.5703125" style="73" customWidth="1"/>
    <col min="4367" max="4367" width="6" style="73" customWidth="1"/>
    <col min="4368" max="4368" width="5.5703125" style="73" customWidth="1"/>
    <col min="4369" max="4370" width="5.7109375" style="73" customWidth="1"/>
    <col min="4371" max="4371" width="9.85546875" style="73" customWidth="1"/>
    <col min="4372" max="4372" width="9.7109375" style="73" customWidth="1"/>
    <col min="4373" max="4373" width="8.85546875" style="73" customWidth="1"/>
    <col min="4374" max="4374" width="10" style="73" customWidth="1"/>
    <col min="4375" max="4375" width="8.28515625" style="73" customWidth="1"/>
    <col min="4376" max="4376" width="9.5703125" style="73" customWidth="1"/>
    <col min="4377" max="4377" width="15.5703125" style="73" customWidth="1"/>
    <col min="4378" max="4609" width="9.140625" style="73"/>
    <col min="4610" max="4610" width="6.85546875" style="73" customWidth="1"/>
    <col min="4611" max="4611" width="2.140625" style="73" customWidth="1"/>
    <col min="4612" max="4612" width="6.140625" style="73" customWidth="1"/>
    <col min="4613" max="4613" width="8.85546875" style="73" customWidth="1"/>
    <col min="4614" max="4614" width="28.42578125" style="73" customWidth="1"/>
    <col min="4615" max="4615" width="13.85546875" style="73" customWidth="1"/>
    <col min="4616" max="4616" width="8.42578125" style="73" customWidth="1"/>
    <col min="4617" max="4620" width="0" style="73" hidden="1" customWidth="1"/>
    <col min="4621" max="4621" width="5.28515625" style="73" customWidth="1"/>
    <col min="4622" max="4622" width="5.5703125" style="73" customWidth="1"/>
    <col min="4623" max="4623" width="6" style="73" customWidth="1"/>
    <col min="4624" max="4624" width="5.5703125" style="73" customWidth="1"/>
    <col min="4625" max="4626" width="5.7109375" style="73" customWidth="1"/>
    <col min="4627" max="4627" width="9.85546875" style="73" customWidth="1"/>
    <col min="4628" max="4628" width="9.7109375" style="73" customWidth="1"/>
    <col min="4629" max="4629" width="8.85546875" style="73" customWidth="1"/>
    <col min="4630" max="4630" width="10" style="73" customWidth="1"/>
    <col min="4631" max="4631" width="8.28515625" style="73" customWidth="1"/>
    <col min="4632" max="4632" width="9.5703125" style="73" customWidth="1"/>
    <col min="4633" max="4633" width="15.5703125" style="73" customWidth="1"/>
    <col min="4634" max="4865" width="9.140625" style="73"/>
    <col min="4866" max="4866" width="6.85546875" style="73" customWidth="1"/>
    <col min="4867" max="4867" width="2.140625" style="73" customWidth="1"/>
    <col min="4868" max="4868" width="6.140625" style="73" customWidth="1"/>
    <col min="4869" max="4869" width="8.85546875" style="73" customWidth="1"/>
    <col min="4870" max="4870" width="28.42578125" style="73" customWidth="1"/>
    <col min="4871" max="4871" width="13.85546875" style="73" customWidth="1"/>
    <col min="4872" max="4872" width="8.42578125" style="73" customWidth="1"/>
    <col min="4873" max="4876" width="0" style="73" hidden="1" customWidth="1"/>
    <col min="4877" max="4877" width="5.28515625" style="73" customWidth="1"/>
    <col min="4878" max="4878" width="5.5703125" style="73" customWidth="1"/>
    <col min="4879" max="4879" width="6" style="73" customWidth="1"/>
    <col min="4880" max="4880" width="5.5703125" style="73" customWidth="1"/>
    <col min="4881" max="4882" width="5.7109375" style="73" customWidth="1"/>
    <col min="4883" max="4883" width="9.85546875" style="73" customWidth="1"/>
    <col min="4884" max="4884" width="9.7109375" style="73" customWidth="1"/>
    <col min="4885" max="4885" width="8.85546875" style="73" customWidth="1"/>
    <col min="4886" max="4886" width="10" style="73" customWidth="1"/>
    <col min="4887" max="4887" width="8.28515625" style="73" customWidth="1"/>
    <col min="4888" max="4888" width="9.5703125" style="73" customWidth="1"/>
    <col min="4889" max="4889" width="15.5703125" style="73" customWidth="1"/>
    <col min="4890" max="5121" width="9.140625" style="73"/>
    <col min="5122" max="5122" width="6.85546875" style="73" customWidth="1"/>
    <col min="5123" max="5123" width="2.140625" style="73" customWidth="1"/>
    <col min="5124" max="5124" width="6.140625" style="73" customWidth="1"/>
    <col min="5125" max="5125" width="8.85546875" style="73" customWidth="1"/>
    <col min="5126" max="5126" width="28.42578125" style="73" customWidth="1"/>
    <col min="5127" max="5127" width="13.85546875" style="73" customWidth="1"/>
    <col min="5128" max="5128" width="8.42578125" style="73" customWidth="1"/>
    <col min="5129" max="5132" width="0" style="73" hidden="1" customWidth="1"/>
    <col min="5133" max="5133" width="5.28515625" style="73" customWidth="1"/>
    <col min="5134" max="5134" width="5.5703125" style="73" customWidth="1"/>
    <col min="5135" max="5135" width="6" style="73" customWidth="1"/>
    <col min="5136" max="5136" width="5.5703125" style="73" customWidth="1"/>
    <col min="5137" max="5138" width="5.7109375" style="73" customWidth="1"/>
    <col min="5139" max="5139" width="9.85546875" style="73" customWidth="1"/>
    <col min="5140" max="5140" width="9.7109375" style="73" customWidth="1"/>
    <col min="5141" max="5141" width="8.85546875" style="73" customWidth="1"/>
    <col min="5142" max="5142" width="10" style="73" customWidth="1"/>
    <col min="5143" max="5143" width="8.28515625" style="73" customWidth="1"/>
    <col min="5144" max="5144" width="9.5703125" style="73" customWidth="1"/>
    <col min="5145" max="5145" width="15.5703125" style="73" customWidth="1"/>
    <col min="5146" max="5377" width="9.140625" style="73"/>
    <col min="5378" max="5378" width="6.85546875" style="73" customWidth="1"/>
    <col min="5379" max="5379" width="2.140625" style="73" customWidth="1"/>
    <col min="5380" max="5380" width="6.140625" style="73" customWidth="1"/>
    <col min="5381" max="5381" width="8.85546875" style="73" customWidth="1"/>
    <col min="5382" max="5382" width="28.42578125" style="73" customWidth="1"/>
    <col min="5383" max="5383" width="13.85546875" style="73" customWidth="1"/>
    <col min="5384" max="5384" width="8.42578125" style="73" customWidth="1"/>
    <col min="5385" max="5388" width="0" style="73" hidden="1" customWidth="1"/>
    <col min="5389" max="5389" width="5.28515625" style="73" customWidth="1"/>
    <col min="5390" max="5390" width="5.5703125" style="73" customWidth="1"/>
    <col min="5391" max="5391" width="6" style="73" customWidth="1"/>
    <col min="5392" max="5392" width="5.5703125" style="73" customWidth="1"/>
    <col min="5393" max="5394" width="5.7109375" style="73" customWidth="1"/>
    <col min="5395" max="5395" width="9.85546875" style="73" customWidth="1"/>
    <col min="5396" max="5396" width="9.7109375" style="73" customWidth="1"/>
    <col min="5397" max="5397" width="8.85546875" style="73" customWidth="1"/>
    <col min="5398" max="5398" width="10" style="73" customWidth="1"/>
    <col min="5399" max="5399" width="8.28515625" style="73" customWidth="1"/>
    <col min="5400" max="5400" width="9.5703125" style="73" customWidth="1"/>
    <col min="5401" max="5401" width="15.5703125" style="73" customWidth="1"/>
    <col min="5402" max="5633" width="9.140625" style="73"/>
    <col min="5634" max="5634" width="6.85546875" style="73" customWidth="1"/>
    <col min="5635" max="5635" width="2.140625" style="73" customWidth="1"/>
    <col min="5636" max="5636" width="6.140625" style="73" customWidth="1"/>
    <col min="5637" max="5637" width="8.85546875" style="73" customWidth="1"/>
    <col min="5638" max="5638" width="28.42578125" style="73" customWidth="1"/>
    <col min="5639" max="5639" width="13.85546875" style="73" customWidth="1"/>
    <col min="5640" max="5640" width="8.42578125" style="73" customWidth="1"/>
    <col min="5641" max="5644" width="0" style="73" hidden="1" customWidth="1"/>
    <col min="5645" max="5645" width="5.28515625" style="73" customWidth="1"/>
    <col min="5646" max="5646" width="5.5703125" style="73" customWidth="1"/>
    <col min="5647" max="5647" width="6" style="73" customWidth="1"/>
    <col min="5648" max="5648" width="5.5703125" style="73" customWidth="1"/>
    <col min="5649" max="5650" width="5.7109375" style="73" customWidth="1"/>
    <col min="5651" max="5651" width="9.85546875" style="73" customWidth="1"/>
    <col min="5652" max="5652" width="9.7109375" style="73" customWidth="1"/>
    <col min="5653" max="5653" width="8.85546875" style="73" customWidth="1"/>
    <col min="5654" max="5654" width="10" style="73" customWidth="1"/>
    <col min="5655" max="5655" width="8.28515625" style="73" customWidth="1"/>
    <col min="5656" max="5656" width="9.5703125" style="73" customWidth="1"/>
    <col min="5657" max="5657" width="15.5703125" style="73" customWidth="1"/>
    <col min="5658" max="5889" width="9.140625" style="73"/>
    <col min="5890" max="5890" width="6.85546875" style="73" customWidth="1"/>
    <col min="5891" max="5891" width="2.140625" style="73" customWidth="1"/>
    <col min="5892" max="5892" width="6.140625" style="73" customWidth="1"/>
    <col min="5893" max="5893" width="8.85546875" style="73" customWidth="1"/>
    <col min="5894" max="5894" width="28.42578125" style="73" customWidth="1"/>
    <col min="5895" max="5895" width="13.85546875" style="73" customWidth="1"/>
    <col min="5896" max="5896" width="8.42578125" style="73" customWidth="1"/>
    <col min="5897" max="5900" width="0" style="73" hidden="1" customWidth="1"/>
    <col min="5901" max="5901" width="5.28515625" style="73" customWidth="1"/>
    <col min="5902" max="5902" width="5.5703125" style="73" customWidth="1"/>
    <col min="5903" max="5903" width="6" style="73" customWidth="1"/>
    <col min="5904" max="5904" width="5.5703125" style="73" customWidth="1"/>
    <col min="5905" max="5906" width="5.7109375" style="73" customWidth="1"/>
    <col min="5907" max="5907" width="9.85546875" style="73" customWidth="1"/>
    <col min="5908" max="5908" width="9.7109375" style="73" customWidth="1"/>
    <col min="5909" max="5909" width="8.85546875" style="73" customWidth="1"/>
    <col min="5910" max="5910" width="10" style="73" customWidth="1"/>
    <col min="5911" max="5911" width="8.28515625" style="73" customWidth="1"/>
    <col min="5912" max="5912" width="9.5703125" style="73" customWidth="1"/>
    <col min="5913" max="5913" width="15.5703125" style="73" customWidth="1"/>
    <col min="5914" max="6145" width="9.140625" style="73"/>
    <col min="6146" max="6146" width="6.85546875" style="73" customWidth="1"/>
    <col min="6147" max="6147" width="2.140625" style="73" customWidth="1"/>
    <col min="6148" max="6148" width="6.140625" style="73" customWidth="1"/>
    <col min="6149" max="6149" width="8.85546875" style="73" customWidth="1"/>
    <col min="6150" max="6150" width="28.42578125" style="73" customWidth="1"/>
    <col min="6151" max="6151" width="13.85546875" style="73" customWidth="1"/>
    <col min="6152" max="6152" width="8.42578125" style="73" customWidth="1"/>
    <col min="6153" max="6156" width="0" style="73" hidden="1" customWidth="1"/>
    <col min="6157" max="6157" width="5.28515625" style="73" customWidth="1"/>
    <col min="6158" max="6158" width="5.5703125" style="73" customWidth="1"/>
    <col min="6159" max="6159" width="6" style="73" customWidth="1"/>
    <col min="6160" max="6160" width="5.5703125" style="73" customWidth="1"/>
    <col min="6161" max="6162" width="5.7109375" style="73" customWidth="1"/>
    <col min="6163" max="6163" width="9.85546875" style="73" customWidth="1"/>
    <col min="6164" max="6164" width="9.7109375" style="73" customWidth="1"/>
    <col min="6165" max="6165" width="8.85546875" style="73" customWidth="1"/>
    <col min="6166" max="6166" width="10" style="73" customWidth="1"/>
    <col min="6167" max="6167" width="8.28515625" style="73" customWidth="1"/>
    <col min="6168" max="6168" width="9.5703125" style="73" customWidth="1"/>
    <col min="6169" max="6169" width="15.5703125" style="73" customWidth="1"/>
    <col min="6170" max="6401" width="9.140625" style="73"/>
    <col min="6402" max="6402" width="6.85546875" style="73" customWidth="1"/>
    <col min="6403" max="6403" width="2.140625" style="73" customWidth="1"/>
    <col min="6404" max="6404" width="6.140625" style="73" customWidth="1"/>
    <col min="6405" max="6405" width="8.85546875" style="73" customWidth="1"/>
    <col min="6406" max="6406" width="28.42578125" style="73" customWidth="1"/>
    <col min="6407" max="6407" width="13.85546875" style="73" customWidth="1"/>
    <col min="6408" max="6408" width="8.42578125" style="73" customWidth="1"/>
    <col min="6409" max="6412" width="0" style="73" hidden="1" customWidth="1"/>
    <col min="6413" max="6413" width="5.28515625" style="73" customWidth="1"/>
    <col min="6414" max="6414" width="5.5703125" style="73" customWidth="1"/>
    <col min="6415" max="6415" width="6" style="73" customWidth="1"/>
    <col min="6416" max="6416" width="5.5703125" style="73" customWidth="1"/>
    <col min="6417" max="6418" width="5.7109375" style="73" customWidth="1"/>
    <col min="6419" max="6419" width="9.85546875" style="73" customWidth="1"/>
    <col min="6420" max="6420" width="9.7109375" style="73" customWidth="1"/>
    <col min="6421" max="6421" width="8.85546875" style="73" customWidth="1"/>
    <col min="6422" max="6422" width="10" style="73" customWidth="1"/>
    <col min="6423" max="6423" width="8.28515625" style="73" customWidth="1"/>
    <col min="6424" max="6424" width="9.5703125" style="73" customWidth="1"/>
    <col min="6425" max="6425" width="15.5703125" style="73" customWidth="1"/>
    <col min="6426" max="6657" width="9.140625" style="73"/>
    <col min="6658" max="6658" width="6.85546875" style="73" customWidth="1"/>
    <col min="6659" max="6659" width="2.140625" style="73" customWidth="1"/>
    <col min="6660" max="6660" width="6.140625" style="73" customWidth="1"/>
    <col min="6661" max="6661" width="8.85546875" style="73" customWidth="1"/>
    <col min="6662" max="6662" width="28.42578125" style="73" customWidth="1"/>
    <col min="6663" max="6663" width="13.85546875" style="73" customWidth="1"/>
    <col min="6664" max="6664" width="8.42578125" style="73" customWidth="1"/>
    <col min="6665" max="6668" width="0" style="73" hidden="1" customWidth="1"/>
    <col min="6669" max="6669" width="5.28515625" style="73" customWidth="1"/>
    <col min="6670" max="6670" width="5.5703125" style="73" customWidth="1"/>
    <col min="6671" max="6671" width="6" style="73" customWidth="1"/>
    <col min="6672" max="6672" width="5.5703125" style="73" customWidth="1"/>
    <col min="6673" max="6674" width="5.7109375" style="73" customWidth="1"/>
    <col min="6675" max="6675" width="9.85546875" style="73" customWidth="1"/>
    <col min="6676" max="6676" width="9.7109375" style="73" customWidth="1"/>
    <col min="6677" max="6677" width="8.85546875" style="73" customWidth="1"/>
    <col min="6678" max="6678" width="10" style="73" customWidth="1"/>
    <col min="6679" max="6679" width="8.28515625" style="73" customWidth="1"/>
    <col min="6680" max="6680" width="9.5703125" style="73" customWidth="1"/>
    <col min="6681" max="6681" width="15.5703125" style="73" customWidth="1"/>
    <col min="6682" max="6913" width="9.140625" style="73"/>
    <col min="6914" max="6914" width="6.85546875" style="73" customWidth="1"/>
    <col min="6915" max="6915" width="2.140625" style="73" customWidth="1"/>
    <col min="6916" max="6916" width="6.140625" style="73" customWidth="1"/>
    <col min="6917" max="6917" width="8.85546875" style="73" customWidth="1"/>
    <col min="6918" max="6918" width="28.42578125" style="73" customWidth="1"/>
    <col min="6919" max="6919" width="13.85546875" style="73" customWidth="1"/>
    <col min="6920" max="6920" width="8.42578125" style="73" customWidth="1"/>
    <col min="6921" max="6924" width="0" style="73" hidden="1" customWidth="1"/>
    <col min="6925" max="6925" width="5.28515625" style="73" customWidth="1"/>
    <col min="6926" max="6926" width="5.5703125" style="73" customWidth="1"/>
    <col min="6927" max="6927" width="6" style="73" customWidth="1"/>
    <col min="6928" max="6928" width="5.5703125" style="73" customWidth="1"/>
    <col min="6929" max="6930" width="5.7109375" style="73" customWidth="1"/>
    <col min="6931" max="6931" width="9.85546875" style="73" customWidth="1"/>
    <col min="6932" max="6932" width="9.7109375" style="73" customWidth="1"/>
    <col min="6933" max="6933" width="8.85546875" style="73" customWidth="1"/>
    <col min="6934" max="6934" width="10" style="73" customWidth="1"/>
    <col min="6935" max="6935" width="8.28515625" style="73" customWidth="1"/>
    <col min="6936" max="6936" width="9.5703125" style="73" customWidth="1"/>
    <col min="6937" max="6937" width="15.5703125" style="73" customWidth="1"/>
    <col min="6938" max="7169" width="9.140625" style="73"/>
    <col min="7170" max="7170" width="6.85546875" style="73" customWidth="1"/>
    <col min="7171" max="7171" width="2.140625" style="73" customWidth="1"/>
    <col min="7172" max="7172" width="6.140625" style="73" customWidth="1"/>
    <col min="7173" max="7173" width="8.85546875" style="73" customWidth="1"/>
    <col min="7174" max="7174" width="28.42578125" style="73" customWidth="1"/>
    <col min="7175" max="7175" width="13.85546875" style="73" customWidth="1"/>
    <col min="7176" max="7176" width="8.42578125" style="73" customWidth="1"/>
    <col min="7177" max="7180" width="0" style="73" hidden="1" customWidth="1"/>
    <col min="7181" max="7181" width="5.28515625" style="73" customWidth="1"/>
    <col min="7182" max="7182" width="5.5703125" style="73" customWidth="1"/>
    <col min="7183" max="7183" width="6" style="73" customWidth="1"/>
    <col min="7184" max="7184" width="5.5703125" style="73" customWidth="1"/>
    <col min="7185" max="7186" width="5.7109375" style="73" customWidth="1"/>
    <col min="7187" max="7187" width="9.85546875" style="73" customWidth="1"/>
    <col min="7188" max="7188" width="9.7109375" style="73" customWidth="1"/>
    <col min="7189" max="7189" width="8.85546875" style="73" customWidth="1"/>
    <col min="7190" max="7190" width="10" style="73" customWidth="1"/>
    <col min="7191" max="7191" width="8.28515625" style="73" customWidth="1"/>
    <col min="7192" max="7192" width="9.5703125" style="73" customWidth="1"/>
    <col min="7193" max="7193" width="15.5703125" style="73" customWidth="1"/>
    <col min="7194" max="7425" width="9.140625" style="73"/>
    <col min="7426" max="7426" width="6.85546875" style="73" customWidth="1"/>
    <col min="7427" max="7427" width="2.140625" style="73" customWidth="1"/>
    <col min="7428" max="7428" width="6.140625" style="73" customWidth="1"/>
    <col min="7429" max="7429" width="8.85546875" style="73" customWidth="1"/>
    <col min="7430" max="7430" width="28.42578125" style="73" customWidth="1"/>
    <col min="7431" max="7431" width="13.85546875" style="73" customWidth="1"/>
    <col min="7432" max="7432" width="8.42578125" style="73" customWidth="1"/>
    <col min="7433" max="7436" width="0" style="73" hidden="1" customWidth="1"/>
    <col min="7437" max="7437" width="5.28515625" style="73" customWidth="1"/>
    <col min="7438" max="7438" width="5.5703125" style="73" customWidth="1"/>
    <col min="7439" max="7439" width="6" style="73" customWidth="1"/>
    <col min="7440" max="7440" width="5.5703125" style="73" customWidth="1"/>
    <col min="7441" max="7442" width="5.7109375" style="73" customWidth="1"/>
    <col min="7443" max="7443" width="9.85546875" style="73" customWidth="1"/>
    <col min="7444" max="7444" width="9.7109375" style="73" customWidth="1"/>
    <col min="7445" max="7445" width="8.85546875" style="73" customWidth="1"/>
    <col min="7446" max="7446" width="10" style="73" customWidth="1"/>
    <col min="7447" max="7447" width="8.28515625" style="73" customWidth="1"/>
    <col min="7448" max="7448" width="9.5703125" style="73" customWidth="1"/>
    <col min="7449" max="7449" width="15.5703125" style="73" customWidth="1"/>
    <col min="7450" max="7681" width="9.140625" style="73"/>
    <col min="7682" max="7682" width="6.85546875" style="73" customWidth="1"/>
    <col min="7683" max="7683" width="2.140625" style="73" customWidth="1"/>
    <col min="7684" max="7684" width="6.140625" style="73" customWidth="1"/>
    <col min="7685" max="7685" width="8.85546875" style="73" customWidth="1"/>
    <col min="7686" max="7686" width="28.42578125" style="73" customWidth="1"/>
    <col min="7687" max="7687" width="13.85546875" style="73" customWidth="1"/>
    <col min="7688" max="7688" width="8.42578125" style="73" customWidth="1"/>
    <col min="7689" max="7692" width="0" style="73" hidden="1" customWidth="1"/>
    <col min="7693" max="7693" width="5.28515625" style="73" customWidth="1"/>
    <col min="7694" max="7694" width="5.5703125" style="73" customWidth="1"/>
    <col min="7695" max="7695" width="6" style="73" customWidth="1"/>
    <col min="7696" max="7696" width="5.5703125" style="73" customWidth="1"/>
    <col min="7697" max="7698" width="5.7109375" style="73" customWidth="1"/>
    <col min="7699" max="7699" width="9.85546875" style="73" customWidth="1"/>
    <col min="7700" max="7700" width="9.7109375" style="73" customWidth="1"/>
    <col min="7701" max="7701" width="8.85546875" style="73" customWidth="1"/>
    <col min="7702" max="7702" width="10" style="73" customWidth="1"/>
    <col min="7703" max="7703" width="8.28515625" style="73" customWidth="1"/>
    <col min="7704" max="7704" width="9.5703125" style="73" customWidth="1"/>
    <col min="7705" max="7705" width="15.5703125" style="73" customWidth="1"/>
    <col min="7706" max="7937" width="9.140625" style="73"/>
    <col min="7938" max="7938" width="6.85546875" style="73" customWidth="1"/>
    <col min="7939" max="7939" width="2.140625" style="73" customWidth="1"/>
    <col min="7940" max="7940" width="6.140625" style="73" customWidth="1"/>
    <col min="7941" max="7941" width="8.85546875" style="73" customWidth="1"/>
    <col min="7942" max="7942" width="28.42578125" style="73" customWidth="1"/>
    <col min="7943" max="7943" width="13.85546875" style="73" customWidth="1"/>
    <col min="7944" max="7944" width="8.42578125" style="73" customWidth="1"/>
    <col min="7945" max="7948" width="0" style="73" hidden="1" customWidth="1"/>
    <col min="7949" max="7949" width="5.28515625" style="73" customWidth="1"/>
    <col min="7950" max="7950" width="5.5703125" style="73" customWidth="1"/>
    <col min="7951" max="7951" width="6" style="73" customWidth="1"/>
    <col min="7952" max="7952" width="5.5703125" style="73" customWidth="1"/>
    <col min="7953" max="7954" width="5.7109375" style="73" customWidth="1"/>
    <col min="7955" max="7955" width="9.85546875" style="73" customWidth="1"/>
    <col min="7956" max="7956" width="9.7109375" style="73" customWidth="1"/>
    <col min="7957" max="7957" width="8.85546875" style="73" customWidth="1"/>
    <col min="7958" max="7958" width="10" style="73" customWidth="1"/>
    <col min="7959" max="7959" width="8.28515625" style="73" customWidth="1"/>
    <col min="7960" max="7960" width="9.5703125" style="73" customWidth="1"/>
    <col min="7961" max="7961" width="15.5703125" style="73" customWidth="1"/>
    <col min="7962" max="8193" width="9.140625" style="73"/>
    <col min="8194" max="8194" width="6.85546875" style="73" customWidth="1"/>
    <col min="8195" max="8195" width="2.140625" style="73" customWidth="1"/>
    <col min="8196" max="8196" width="6.140625" style="73" customWidth="1"/>
    <col min="8197" max="8197" width="8.85546875" style="73" customWidth="1"/>
    <col min="8198" max="8198" width="28.42578125" style="73" customWidth="1"/>
    <col min="8199" max="8199" width="13.85546875" style="73" customWidth="1"/>
    <col min="8200" max="8200" width="8.42578125" style="73" customWidth="1"/>
    <col min="8201" max="8204" width="0" style="73" hidden="1" customWidth="1"/>
    <col min="8205" max="8205" width="5.28515625" style="73" customWidth="1"/>
    <col min="8206" max="8206" width="5.5703125" style="73" customWidth="1"/>
    <col min="8207" max="8207" width="6" style="73" customWidth="1"/>
    <col min="8208" max="8208" width="5.5703125" style="73" customWidth="1"/>
    <col min="8209" max="8210" width="5.7109375" style="73" customWidth="1"/>
    <col min="8211" max="8211" width="9.85546875" style="73" customWidth="1"/>
    <col min="8212" max="8212" width="9.7109375" style="73" customWidth="1"/>
    <col min="8213" max="8213" width="8.85546875" style="73" customWidth="1"/>
    <col min="8214" max="8214" width="10" style="73" customWidth="1"/>
    <col min="8215" max="8215" width="8.28515625" style="73" customWidth="1"/>
    <col min="8216" max="8216" width="9.5703125" style="73" customWidth="1"/>
    <col min="8217" max="8217" width="15.5703125" style="73" customWidth="1"/>
    <col min="8218" max="8449" width="9.140625" style="73"/>
    <col min="8450" max="8450" width="6.85546875" style="73" customWidth="1"/>
    <col min="8451" max="8451" width="2.140625" style="73" customWidth="1"/>
    <col min="8452" max="8452" width="6.140625" style="73" customWidth="1"/>
    <col min="8453" max="8453" width="8.85546875" style="73" customWidth="1"/>
    <col min="8454" max="8454" width="28.42578125" style="73" customWidth="1"/>
    <col min="8455" max="8455" width="13.85546875" style="73" customWidth="1"/>
    <col min="8456" max="8456" width="8.42578125" style="73" customWidth="1"/>
    <col min="8457" max="8460" width="0" style="73" hidden="1" customWidth="1"/>
    <col min="8461" max="8461" width="5.28515625" style="73" customWidth="1"/>
    <col min="8462" max="8462" width="5.5703125" style="73" customWidth="1"/>
    <col min="8463" max="8463" width="6" style="73" customWidth="1"/>
    <col min="8464" max="8464" width="5.5703125" style="73" customWidth="1"/>
    <col min="8465" max="8466" width="5.7109375" style="73" customWidth="1"/>
    <col min="8467" max="8467" width="9.85546875" style="73" customWidth="1"/>
    <col min="8468" max="8468" width="9.7109375" style="73" customWidth="1"/>
    <col min="8469" max="8469" width="8.85546875" style="73" customWidth="1"/>
    <col min="8470" max="8470" width="10" style="73" customWidth="1"/>
    <col min="8471" max="8471" width="8.28515625" style="73" customWidth="1"/>
    <col min="8472" max="8472" width="9.5703125" style="73" customWidth="1"/>
    <col min="8473" max="8473" width="15.5703125" style="73" customWidth="1"/>
    <col min="8474" max="8705" width="9.140625" style="73"/>
    <col min="8706" max="8706" width="6.85546875" style="73" customWidth="1"/>
    <col min="8707" max="8707" width="2.140625" style="73" customWidth="1"/>
    <col min="8708" max="8708" width="6.140625" style="73" customWidth="1"/>
    <col min="8709" max="8709" width="8.85546875" style="73" customWidth="1"/>
    <col min="8710" max="8710" width="28.42578125" style="73" customWidth="1"/>
    <col min="8711" max="8711" width="13.85546875" style="73" customWidth="1"/>
    <col min="8712" max="8712" width="8.42578125" style="73" customWidth="1"/>
    <col min="8713" max="8716" width="0" style="73" hidden="1" customWidth="1"/>
    <col min="8717" max="8717" width="5.28515625" style="73" customWidth="1"/>
    <col min="8718" max="8718" width="5.5703125" style="73" customWidth="1"/>
    <col min="8719" max="8719" width="6" style="73" customWidth="1"/>
    <col min="8720" max="8720" width="5.5703125" style="73" customWidth="1"/>
    <col min="8721" max="8722" width="5.7109375" style="73" customWidth="1"/>
    <col min="8723" max="8723" width="9.85546875" style="73" customWidth="1"/>
    <col min="8724" max="8724" width="9.7109375" style="73" customWidth="1"/>
    <col min="8725" max="8725" width="8.85546875" style="73" customWidth="1"/>
    <col min="8726" max="8726" width="10" style="73" customWidth="1"/>
    <col min="8727" max="8727" width="8.28515625" style="73" customWidth="1"/>
    <col min="8728" max="8728" width="9.5703125" style="73" customWidth="1"/>
    <col min="8729" max="8729" width="15.5703125" style="73" customWidth="1"/>
    <col min="8730" max="8961" width="9.140625" style="73"/>
    <col min="8962" max="8962" width="6.85546875" style="73" customWidth="1"/>
    <col min="8963" max="8963" width="2.140625" style="73" customWidth="1"/>
    <col min="8964" max="8964" width="6.140625" style="73" customWidth="1"/>
    <col min="8965" max="8965" width="8.85546875" style="73" customWidth="1"/>
    <col min="8966" max="8966" width="28.42578125" style="73" customWidth="1"/>
    <col min="8967" max="8967" width="13.85546875" style="73" customWidth="1"/>
    <col min="8968" max="8968" width="8.42578125" style="73" customWidth="1"/>
    <col min="8969" max="8972" width="0" style="73" hidden="1" customWidth="1"/>
    <col min="8973" max="8973" width="5.28515625" style="73" customWidth="1"/>
    <col min="8974" max="8974" width="5.5703125" style="73" customWidth="1"/>
    <col min="8975" max="8975" width="6" style="73" customWidth="1"/>
    <col min="8976" max="8976" width="5.5703125" style="73" customWidth="1"/>
    <col min="8977" max="8978" width="5.7109375" style="73" customWidth="1"/>
    <col min="8979" max="8979" width="9.85546875" style="73" customWidth="1"/>
    <col min="8980" max="8980" width="9.7109375" style="73" customWidth="1"/>
    <col min="8981" max="8981" width="8.85546875" style="73" customWidth="1"/>
    <col min="8982" max="8982" width="10" style="73" customWidth="1"/>
    <col min="8983" max="8983" width="8.28515625" style="73" customWidth="1"/>
    <col min="8984" max="8984" width="9.5703125" style="73" customWidth="1"/>
    <col min="8985" max="8985" width="15.5703125" style="73" customWidth="1"/>
    <col min="8986" max="9217" width="9.140625" style="73"/>
    <col min="9218" max="9218" width="6.85546875" style="73" customWidth="1"/>
    <col min="9219" max="9219" width="2.140625" style="73" customWidth="1"/>
    <col min="9220" max="9220" width="6.140625" style="73" customWidth="1"/>
    <col min="9221" max="9221" width="8.85546875" style="73" customWidth="1"/>
    <col min="9222" max="9222" width="28.42578125" style="73" customWidth="1"/>
    <col min="9223" max="9223" width="13.85546875" style="73" customWidth="1"/>
    <col min="9224" max="9224" width="8.42578125" style="73" customWidth="1"/>
    <col min="9225" max="9228" width="0" style="73" hidden="1" customWidth="1"/>
    <col min="9229" max="9229" width="5.28515625" style="73" customWidth="1"/>
    <col min="9230" max="9230" width="5.5703125" style="73" customWidth="1"/>
    <col min="9231" max="9231" width="6" style="73" customWidth="1"/>
    <col min="9232" max="9232" width="5.5703125" style="73" customWidth="1"/>
    <col min="9233" max="9234" width="5.7109375" style="73" customWidth="1"/>
    <col min="9235" max="9235" width="9.85546875" style="73" customWidth="1"/>
    <col min="9236" max="9236" width="9.7109375" style="73" customWidth="1"/>
    <col min="9237" max="9237" width="8.85546875" style="73" customWidth="1"/>
    <col min="9238" max="9238" width="10" style="73" customWidth="1"/>
    <col min="9239" max="9239" width="8.28515625" style="73" customWidth="1"/>
    <col min="9240" max="9240" width="9.5703125" style="73" customWidth="1"/>
    <col min="9241" max="9241" width="15.5703125" style="73" customWidth="1"/>
    <col min="9242" max="9473" width="9.140625" style="73"/>
    <col min="9474" max="9474" width="6.85546875" style="73" customWidth="1"/>
    <col min="9475" max="9475" width="2.140625" style="73" customWidth="1"/>
    <col min="9476" max="9476" width="6.140625" style="73" customWidth="1"/>
    <col min="9477" max="9477" width="8.85546875" style="73" customWidth="1"/>
    <col min="9478" max="9478" width="28.42578125" style="73" customWidth="1"/>
    <col min="9479" max="9479" width="13.85546875" style="73" customWidth="1"/>
    <col min="9480" max="9480" width="8.42578125" style="73" customWidth="1"/>
    <col min="9481" max="9484" width="0" style="73" hidden="1" customWidth="1"/>
    <col min="9485" max="9485" width="5.28515625" style="73" customWidth="1"/>
    <col min="9486" max="9486" width="5.5703125" style="73" customWidth="1"/>
    <col min="9487" max="9487" width="6" style="73" customWidth="1"/>
    <col min="9488" max="9488" width="5.5703125" style="73" customWidth="1"/>
    <col min="9489" max="9490" width="5.7109375" style="73" customWidth="1"/>
    <col min="9491" max="9491" width="9.85546875" style="73" customWidth="1"/>
    <col min="9492" max="9492" width="9.7109375" style="73" customWidth="1"/>
    <col min="9493" max="9493" width="8.85546875" style="73" customWidth="1"/>
    <col min="9494" max="9494" width="10" style="73" customWidth="1"/>
    <col min="9495" max="9495" width="8.28515625" style="73" customWidth="1"/>
    <col min="9496" max="9496" width="9.5703125" style="73" customWidth="1"/>
    <col min="9497" max="9497" width="15.5703125" style="73" customWidth="1"/>
    <col min="9498" max="9729" width="9.140625" style="73"/>
    <col min="9730" max="9730" width="6.85546875" style="73" customWidth="1"/>
    <col min="9731" max="9731" width="2.140625" style="73" customWidth="1"/>
    <col min="9732" max="9732" width="6.140625" style="73" customWidth="1"/>
    <col min="9733" max="9733" width="8.85546875" style="73" customWidth="1"/>
    <col min="9734" max="9734" width="28.42578125" style="73" customWidth="1"/>
    <col min="9735" max="9735" width="13.85546875" style="73" customWidth="1"/>
    <col min="9736" max="9736" width="8.42578125" style="73" customWidth="1"/>
    <col min="9737" max="9740" width="0" style="73" hidden="1" customWidth="1"/>
    <col min="9741" max="9741" width="5.28515625" style="73" customWidth="1"/>
    <col min="9742" max="9742" width="5.5703125" style="73" customWidth="1"/>
    <col min="9743" max="9743" width="6" style="73" customWidth="1"/>
    <col min="9744" max="9744" width="5.5703125" style="73" customWidth="1"/>
    <col min="9745" max="9746" width="5.7109375" style="73" customWidth="1"/>
    <col min="9747" max="9747" width="9.85546875" style="73" customWidth="1"/>
    <col min="9748" max="9748" width="9.7109375" style="73" customWidth="1"/>
    <col min="9749" max="9749" width="8.85546875" style="73" customWidth="1"/>
    <col min="9750" max="9750" width="10" style="73" customWidth="1"/>
    <col min="9751" max="9751" width="8.28515625" style="73" customWidth="1"/>
    <col min="9752" max="9752" width="9.5703125" style="73" customWidth="1"/>
    <col min="9753" max="9753" width="15.5703125" style="73" customWidth="1"/>
    <col min="9754" max="9985" width="9.140625" style="73"/>
    <col min="9986" max="9986" width="6.85546875" style="73" customWidth="1"/>
    <col min="9987" max="9987" width="2.140625" style="73" customWidth="1"/>
    <col min="9988" max="9988" width="6.140625" style="73" customWidth="1"/>
    <col min="9989" max="9989" width="8.85546875" style="73" customWidth="1"/>
    <col min="9990" max="9990" width="28.42578125" style="73" customWidth="1"/>
    <col min="9991" max="9991" width="13.85546875" style="73" customWidth="1"/>
    <col min="9992" max="9992" width="8.42578125" style="73" customWidth="1"/>
    <col min="9993" max="9996" width="0" style="73" hidden="1" customWidth="1"/>
    <col min="9997" max="9997" width="5.28515625" style="73" customWidth="1"/>
    <col min="9998" max="9998" width="5.5703125" style="73" customWidth="1"/>
    <col min="9999" max="9999" width="6" style="73" customWidth="1"/>
    <col min="10000" max="10000" width="5.5703125" style="73" customWidth="1"/>
    <col min="10001" max="10002" width="5.7109375" style="73" customWidth="1"/>
    <col min="10003" max="10003" width="9.85546875" style="73" customWidth="1"/>
    <col min="10004" max="10004" width="9.7109375" style="73" customWidth="1"/>
    <col min="10005" max="10005" width="8.85546875" style="73" customWidth="1"/>
    <col min="10006" max="10006" width="10" style="73" customWidth="1"/>
    <col min="10007" max="10007" width="8.28515625" style="73" customWidth="1"/>
    <col min="10008" max="10008" width="9.5703125" style="73" customWidth="1"/>
    <col min="10009" max="10009" width="15.5703125" style="73" customWidth="1"/>
    <col min="10010" max="10241" width="9.140625" style="73"/>
    <col min="10242" max="10242" width="6.85546875" style="73" customWidth="1"/>
    <col min="10243" max="10243" width="2.140625" style="73" customWidth="1"/>
    <col min="10244" max="10244" width="6.140625" style="73" customWidth="1"/>
    <col min="10245" max="10245" width="8.85546875" style="73" customWidth="1"/>
    <col min="10246" max="10246" width="28.42578125" style="73" customWidth="1"/>
    <col min="10247" max="10247" width="13.85546875" style="73" customWidth="1"/>
    <col min="10248" max="10248" width="8.42578125" style="73" customWidth="1"/>
    <col min="10249" max="10252" width="0" style="73" hidden="1" customWidth="1"/>
    <col min="10253" max="10253" width="5.28515625" style="73" customWidth="1"/>
    <col min="10254" max="10254" width="5.5703125" style="73" customWidth="1"/>
    <col min="10255" max="10255" width="6" style="73" customWidth="1"/>
    <col min="10256" max="10256" width="5.5703125" style="73" customWidth="1"/>
    <col min="10257" max="10258" width="5.7109375" style="73" customWidth="1"/>
    <col min="10259" max="10259" width="9.85546875" style="73" customWidth="1"/>
    <col min="10260" max="10260" width="9.7109375" style="73" customWidth="1"/>
    <col min="10261" max="10261" width="8.85546875" style="73" customWidth="1"/>
    <col min="10262" max="10262" width="10" style="73" customWidth="1"/>
    <col min="10263" max="10263" width="8.28515625" style="73" customWidth="1"/>
    <col min="10264" max="10264" width="9.5703125" style="73" customWidth="1"/>
    <col min="10265" max="10265" width="15.5703125" style="73" customWidth="1"/>
    <col min="10266" max="10497" width="9.140625" style="73"/>
    <col min="10498" max="10498" width="6.85546875" style="73" customWidth="1"/>
    <col min="10499" max="10499" width="2.140625" style="73" customWidth="1"/>
    <col min="10500" max="10500" width="6.140625" style="73" customWidth="1"/>
    <col min="10501" max="10501" width="8.85546875" style="73" customWidth="1"/>
    <col min="10502" max="10502" width="28.42578125" style="73" customWidth="1"/>
    <col min="10503" max="10503" width="13.85546875" style="73" customWidth="1"/>
    <col min="10504" max="10504" width="8.42578125" style="73" customWidth="1"/>
    <col min="10505" max="10508" width="0" style="73" hidden="1" customWidth="1"/>
    <col min="10509" max="10509" width="5.28515625" style="73" customWidth="1"/>
    <col min="10510" max="10510" width="5.5703125" style="73" customWidth="1"/>
    <col min="10511" max="10511" width="6" style="73" customWidth="1"/>
    <col min="10512" max="10512" width="5.5703125" style="73" customWidth="1"/>
    <col min="10513" max="10514" width="5.7109375" style="73" customWidth="1"/>
    <col min="10515" max="10515" width="9.85546875" style="73" customWidth="1"/>
    <col min="10516" max="10516" width="9.7109375" style="73" customWidth="1"/>
    <col min="10517" max="10517" width="8.85546875" style="73" customWidth="1"/>
    <col min="10518" max="10518" width="10" style="73" customWidth="1"/>
    <col min="10519" max="10519" width="8.28515625" style="73" customWidth="1"/>
    <col min="10520" max="10520" width="9.5703125" style="73" customWidth="1"/>
    <col min="10521" max="10521" width="15.5703125" style="73" customWidth="1"/>
    <col min="10522" max="10753" width="9.140625" style="73"/>
    <col min="10754" max="10754" width="6.85546875" style="73" customWidth="1"/>
    <col min="10755" max="10755" width="2.140625" style="73" customWidth="1"/>
    <col min="10756" max="10756" width="6.140625" style="73" customWidth="1"/>
    <col min="10757" max="10757" width="8.85546875" style="73" customWidth="1"/>
    <col min="10758" max="10758" width="28.42578125" style="73" customWidth="1"/>
    <col min="10759" max="10759" width="13.85546875" style="73" customWidth="1"/>
    <col min="10760" max="10760" width="8.42578125" style="73" customWidth="1"/>
    <col min="10761" max="10764" width="0" style="73" hidden="1" customWidth="1"/>
    <col min="10765" max="10765" width="5.28515625" style="73" customWidth="1"/>
    <col min="10766" max="10766" width="5.5703125" style="73" customWidth="1"/>
    <col min="10767" max="10767" width="6" style="73" customWidth="1"/>
    <col min="10768" max="10768" width="5.5703125" style="73" customWidth="1"/>
    <col min="10769" max="10770" width="5.7109375" style="73" customWidth="1"/>
    <col min="10771" max="10771" width="9.85546875" style="73" customWidth="1"/>
    <col min="10772" max="10772" width="9.7109375" style="73" customWidth="1"/>
    <col min="10773" max="10773" width="8.85546875" style="73" customWidth="1"/>
    <col min="10774" max="10774" width="10" style="73" customWidth="1"/>
    <col min="10775" max="10775" width="8.28515625" style="73" customWidth="1"/>
    <col min="10776" max="10776" width="9.5703125" style="73" customWidth="1"/>
    <col min="10777" max="10777" width="15.5703125" style="73" customWidth="1"/>
    <col min="10778" max="11009" width="9.140625" style="73"/>
    <col min="11010" max="11010" width="6.85546875" style="73" customWidth="1"/>
    <col min="11011" max="11011" width="2.140625" style="73" customWidth="1"/>
    <col min="11012" max="11012" width="6.140625" style="73" customWidth="1"/>
    <col min="11013" max="11013" width="8.85546875" style="73" customWidth="1"/>
    <col min="11014" max="11014" width="28.42578125" style="73" customWidth="1"/>
    <col min="11015" max="11015" width="13.85546875" style="73" customWidth="1"/>
    <col min="11016" max="11016" width="8.42578125" style="73" customWidth="1"/>
    <col min="11017" max="11020" width="0" style="73" hidden="1" customWidth="1"/>
    <col min="11021" max="11021" width="5.28515625" style="73" customWidth="1"/>
    <col min="11022" max="11022" width="5.5703125" style="73" customWidth="1"/>
    <col min="11023" max="11023" width="6" style="73" customWidth="1"/>
    <col min="11024" max="11024" width="5.5703125" style="73" customWidth="1"/>
    <col min="11025" max="11026" width="5.7109375" style="73" customWidth="1"/>
    <col min="11027" max="11027" width="9.85546875" style="73" customWidth="1"/>
    <col min="11028" max="11028" width="9.7109375" style="73" customWidth="1"/>
    <col min="11029" max="11029" width="8.85546875" style="73" customWidth="1"/>
    <col min="11030" max="11030" width="10" style="73" customWidth="1"/>
    <col min="11031" max="11031" width="8.28515625" style="73" customWidth="1"/>
    <col min="11032" max="11032" width="9.5703125" style="73" customWidth="1"/>
    <col min="11033" max="11033" width="15.5703125" style="73" customWidth="1"/>
    <col min="11034" max="11265" width="9.140625" style="73"/>
    <col min="11266" max="11266" width="6.85546875" style="73" customWidth="1"/>
    <col min="11267" max="11267" width="2.140625" style="73" customWidth="1"/>
    <col min="11268" max="11268" width="6.140625" style="73" customWidth="1"/>
    <col min="11269" max="11269" width="8.85546875" style="73" customWidth="1"/>
    <col min="11270" max="11270" width="28.42578125" style="73" customWidth="1"/>
    <col min="11271" max="11271" width="13.85546875" style="73" customWidth="1"/>
    <col min="11272" max="11272" width="8.42578125" style="73" customWidth="1"/>
    <col min="11273" max="11276" width="0" style="73" hidden="1" customWidth="1"/>
    <col min="11277" max="11277" width="5.28515625" style="73" customWidth="1"/>
    <col min="11278" max="11278" width="5.5703125" style="73" customWidth="1"/>
    <col min="11279" max="11279" width="6" style="73" customWidth="1"/>
    <col min="11280" max="11280" width="5.5703125" style="73" customWidth="1"/>
    <col min="11281" max="11282" width="5.7109375" style="73" customWidth="1"/>
    <col min="11283" max="11283" width="9.85546875" style="73" customWidth="1"/>
    <col min="11284" max="11284" width="9.7109375" style="73" customWidth="1"/>
    <col min="11285" max="11285" width="8.85546875" style="73" customWidth="1"/>
    <col min="11286" max="11286" width="10" style="73" customWidth="1"/>
    <col min="11287" max="11287" width="8.28515625" style="73" customWidth="1"/>
    <col min="11288" max="11288" width="9.5703125" style="73" customWidth="1"/>
    <col min="11289" max="11289" width="15.5703125" style="73" customWidth="1"/>
    <col min="11290" max="11521" width="9.140625" style="73"/>
    <col min="11522" max="11522" width="6.85546875" style="73" customWidth="1"/>
    <col min="11523" max="11523" width="2.140625" style="73" customWidth="1"/>
    <col min="11524" max="11524" width="6.140625" style="73" customWidth="1"/>
    <col min="11525" max="11525" width="8.85546875" style="73" customWidth="1"/>
    <col min="11526" max="11526" width="28.42578125" style="73" customWidth="1"/>
    <col min="11527" max="11527" width="13.85546875" style="73" customWidth="1"/>
    <col min="11528" max="11528" width="8.42578125" style="73" customWidth="1"/>
    <col min="11529" max="11532" width="0" style="73" hidden="1" customWidth="1"/>
    <col min="11533" max="11533" width="5.28515625" style="73" customWidth="1"/>
    <col min="11534" max="11534" width="5.5703125" style="73" customWidth="1"/>
    <col min="11535" max="11535" width="6" style="73" customWidth="1"/>
    <col min="11536" max="11536" width="5.5703125" style="73" customWidth="1"/>
    <col min="11537" max="11538" width="5.7109375" style="73" customWidth="1"/>
    <col min="11539" max="11539" width="9.85546875" style="73" customWidth="1"/>
    <col min="11540" max="11540" width="9.7109375" style="73" customWidth="1"/>
    <col min="11541" max="11541" width="8.85546875" style="73" customWidth="1"/>
    <col min="11542" max="11542" width="10" style="73" customWidth="1"/>
    <col min="11543" max="11543" width="8.28515625" style="73" customWidth="1"/>
    <col min="11544" max="11544" width="9.5703125" style="73" customWidth="1"/>
    <col min="11545" max="11545" width="15.5703125" style="73" customWidth="1"/>
    <col min="11546" max="11777" width="9.140625" style="73"/>
    <col min="11778" max="11778" width="6.85546875" style="73" customWidth="1"/>
    <col min="11779" max="11779" width="2.140625" style="73" customWidth="1"/>
    <col min="11780" max="11780" width="6.140625" style="73" customWidth="1"/>
    <col min="11781" max="11781" width="8.85546875" style="73" customWidth="1"/>
    <col min="11782" max="11782" width="28.42578125" style="73" customWidth="1"/>
    <col min="11783" max="11783" width="13.85546875" style="73" customWidth="1"/>
    <col min="11784" max="11784" width="8.42578125" style="73" customWidth="1"/>
    <col min="11785" max="11788" width="0" style="73" hidden="1" customWidth="1"/>
    <col min="11789" max="11789" width="5.28515625" style="73" customWidth="1"/>
    <col min="11790" max="11790" width="5.5703125" style="73" customWidth="1"/>
    <col min="11791" max="11791" width="6" style="73" customWidth="1"/>
    <col min="11792" max="11792" width="5.5703125" style="73" customWidth="1"/>
    <col min="11793" max="11794" width="5.7109375" style="73" customWidth="1"/>
    <col min="11795" max="11795" width="9.85546875" style="73" customWidth="1"/>
    <col min="11796" max="11796" width="9.7109375" style="73" customWidth="1"/>
    <col min="11797" max="11797" width="8.85546875" style="73" customWidth="1"/>
    <col min="11798" max="11798" width="10" style="73" customWidth="1"/>
    <col min="11799" max="11799" width="8.28515625" style="73" customWidth="1"/>
    <col min="11800" max="11800" width="9.5703125" style="73" customWidth="1"/>
    <col min="11801" max="11801" width="15.5703125" style="73" customWidth="1"/>
    <col min="11802" max="12033" width="9.140625" style="73"/>
    <col min="12034" max="12034" width="6.85546875" style="73" customWidth="1"/>
    <col min="12035" max="12035" width="2.140625" style="73" customWidth="1"/>
    <col min="12036" max="12036" width="6.140625" style="73" customWidth="1"/>
    <col min="12037" max="12037" width="8.85546875" style="73" customWidth="1"/>
    <col min="12038" max="12038" width="28.42578125" style="73" customWidth="1"/>
    <col min="12039" max="12039" width="13.85546875" style="73" customWidth="1"/>
    <col min="12040" max="12040" width="8.42578125" style="73" customWidth="1"/>
    <col min="12041" max="12044" width="0" style="73" hidden="1" customWidth="1"/>
    <col min="12045" max="12045" width="5.28515625" style="73" customWidth="1"/>
    <col min="12046" max="12046" width="5.5703125" style="73" customWidth="1"/>
    <col min="12047" max="12047" width="6" style="73" customWidth="1"/>
    <col min="12048" max="12048" width="5.5703125" style="73" customWidth="1"/>
    <col min="12049" max="12050" width="5.7109375" style="73" customWidth="1"/>
    <col min="12051" max="12051" width="9.85546875" style="73" customWidth="1"/>
    <col min="12052" max="12052" width="9.7109375" style="73" customWidth="1"/>
    <col min="12053" max="12053" width="8.85546875" style="73" customWidth="1"/>
    <col min="12054" max="12054" width="10" style="73" customWidth="1"/>
    <col min="12055" max="12055" width="8.28515625" style="73" customWidth="1"/>
    <col min="12056" max="12056" width="9.5703125" style="73" customWidth="1"/>
    <col min="12057" max="12057" width="15.5703125" style="73" customWidth="1"/>
    <col min="12058" max="12289" width="9.140625" style="73"/>
    <col min="12290" max="12290" width="6.85546875" style="73" customWidth="1"/>
    <col min="12291" max="12291" width="2.140625" style="73" customWidth="1"/>
    <col min="12292" max="12292" width="6.140625" style="73" customWidth="1"/>
    <col min="12293" max="12293" width="8.85546875" style="73" customWidth="1"/>
    <col min="12294" max="12294" width="28.42578125" style="73" customWidth="1"/>
    <col min="12295" max="12295" width="13.85546875" style="73" customWidth="1"/>
    <col min="12296" max="12296" width="8.42578125" style="73" customWidth="1"/>
    <col min="12297" max="12300" width="0" style="73" hidden="1" customWidth="1"/>
    <col min="12301" max="12301" width="5.28515625" style="73" customWidth="1"/>
    <col min="12302" max="12302" width="5.5703125" style="73" customWidth="1"/>
    <col min="12303" max="12303" width="6" style="73" customWidth="1"/>
    <col min="12304" max="12304" width="5.5703125" style="73" customWidth="1"/>
    <col min="12305" max="12306" width="5.7109375" style="73" customWidth="1"/>
    <col min="12307" max="12307" width="9.85546875" style="73" customWidth="1"/>
    <col min="12308" max="12308" width="9.7109375" style="73" customWidth="1"/>
    <col min="12309" max="12309" width="8.85546875" style="73" customWidth="1"/>
    <col min="12310" max="12310" width="10" style="73" customWidth="1"/>
    <col min="12311" max="12311" width="8.28515625" style="73" customWidth="1"/>
    <col min="12312" max="12312" width="9.5703125" style="73" customWidth="1"/>
    <col min="12313" max="12313" width="15.5703125" style="73" customWidth="1"/>
    <col min="12314" max="12545" width="9.140625" style="73"/>
    <col min="12546" max="12546" width="6.85546875" style="73" customWidth="1"/>
    <col min="12547" max="12547" width="2.140625" style="73" customWidth="1"/>
    <col min="12548" max="12548" width="6.140625" style="73" customWidth="1"/>
    <col min="12549" max="12549" width="8.85546875" style="73" customWidth="1"/>
    <col min="12550" max="12550" width="28.42578125" style="73" customWidth="1"/>
    <col min="12551" max="12551" width="13.85546875" style="73" customWidth="1"/>
    <col min="12552" max="12552" width="8.42578125" style="73" customWidth="1"/>
    <col min="12553" max="12556" width="0" style="73" hidden="1" customWidth="1"/>
    <col min="12557" max="12557" width="5.28515625" style="73" customWidth="1"/>
    <col min="12558" max="12558" width="5.5703125" style="73" customWidth="1"/>
    <col min="12559" max="12559" width="6" style="73" customWidth="1"/>
    <col min="12560" max="12560" width="5.5703125" style="73" customWidth="1"/>
    <col min="12561" max="12562" width="5.7109375" style="73" customWidth="1"/>
    <col min="12563" max="12563" width="9.85546875" style="73" customWidth="1"/>
    <col min="12564" max="12564" width="9.7109375" style="73" customWidth="1"/>
    <col min="12565" max="12565" width="8.85546875" style="73" customWidth="1"/>
    <col min="12566" max="12566" width="10" style="73" customWidth="1"/>
    <col min="12567" max="12567" width="8.28515625" style="73" customWidth="1"/>
    <col min="12568" max="12568" width="9.5703125" style="73" customWidth="1"/>
    <col min="12569" max="12569" width="15.5703125" style="73" customWidth="1"/>
    <col min="12570" max="12801" width="9.140625" style="73"/>
    <col min="12802" max="12802" width="6.85546875" style="73" customWidth="1"/>
    <col min="12803" max="12803" width="2.140625" style="73" customWidth="1"/>
    <col min="12804" max="12804" width="6.140625" style="73" customWidth="1"/>
    <col min="12805" max="12805" width="8.85546875" style="73" customWidth="1"/>
    <col min="12806" max="12806" width="28.42578125" style="73" customWidth="1"/>
    <col min="12807" max="12807" width="13.85546875" style="73" customWidth="1"/>
    <col min="12808" max="12808" width="8.42578125" style="73" customWidth="1"/>
    <col min="12809" max="12812" width="0" style="73" hidden="1" customWidth="1"/>
    <col min="12813" max="12813" width="5.28515625" style="73" customWidth="1"/>
    <col min="12814" max="12814" width="5.5703125" style="73" customWidth="1"/>
    <col min="12815" max="12815" width="6" style="73" customWidth="1"/>
    <col min="12816" max="12816" width="5.5703125" style="73" customWidth="1"/>
    <col min="12817" max="12818" width="5.7109375" style="73" customWidth="1"/>
    <col min="12819" max="12819" width="9.85546875" style="73" customWidth="1"/>
    <col min="12820" max="12820" width="9.7109375" style="73" customWidth="1"/>
    <col min="12821" max="12821" width="8.85546875" style="73" customWidth="1"/>
    <col min="12822" max="12822" width="10" style="73" customWidth="1"/>
    <col min="12823" max="12823" width="8.28515625" style="73" customWidth="1"/>
    <col min="12824" max="12824" width="9.5703125" style="73" customWidth="1"/>
    <col min="12825" max="12825" width="15.5703125" style="73" customWidth="1"/>
    <col min="12826" max="13057" width="9.140625" style="73"/>
    <col min="13058" max="13058" width="6.85546875" style="73" customWidth="1"/>
    <col min="13059" max="13059" width="2.140625" style="73" customWidth="1"/>
    <col min="13060" max="13060" width="6.140625" style="73" customWidth="1"/>
    <col min="13061" max="13061" width="8.85546875" style="73" customWidth="1"/>
    <col min="13062" max="13062" width="28.42578125" style="73" customWidth="1"/>
    <col min="13063" max="13063" width="13.85546875" style="73" customWidth="1"/>
    <col min="13064" max="13064" width="8.42578125" style="73" customWidth="1"/>
    <col min="13065" max="13068" width="0" style="73" hidden="1" customWidth="1"/>
    <col min="13069" max="13069" width="5.28515625" style="73" customWidth="1"/>
    <col min="13070" max="13070" width="5.5703125" style="73" customWidth="1"/>
    <col min="13071" max="13071" width="6" style="73" customWidth="1"/>
    <col min="13072" max="13072" width="5.5703125" style="73" customWidth="1"/>
    <col min="13073" max="13074" width="5.7109375" style="73" customWidth="1"/>
    <col min="13075" max="13075" width="9.85546875" style="73" customWidth="1"/>
    <col min="13076" max="13076" width="9.7109375" style="73" customWidth="1"/>
    <col min="13077" max="13077" width="8.85546875" style="73" customWidth="1"/>
    <col min="13078" max="13078" width="10" style="73" customWidth="1"/>
    <col min="13079" max="13079" width="8.28515625" style="73" customWidth="1"/>
    <col min="13080" max="13080" width="9.5703125" style="73" customWidth="1"/>
    <col min="13081" max="13081" width="15.5703125" style="73" customWidth="1"/>
    <col min="13082" max="13313" width="9.140625" style="73"/>
    <col min="13314" max="13314" width="6.85546875" style="73" customWidth="1"/>
    <col min="13315" max="13315" width="2.140625" style="73" customWidth="1"/>
    <col min="13316" max="13316" width="6.140625" style="73" customWidth="1"/>
    <col min="13317" max="13317" width="8.85546875" style="73" customWidth="1"/>
    <col min="13318" max="13318" width="28.42578125" style="73" customWidth="1"/>
    <col min="13319" max="13319" width="13.85546875" style="73" customWidth="1"/>
    <col min="13320" max="13320" width="8.42578125" style="73" customWidth="1"/>
    <col min="13321" max="13324" width="0" style="73" hidden="1" customWidth="1"/>
    <col min="13325" max="13325" width="5.28515625" style="73" customWidth="1"/>
    <col min="13326" max="13326" width="5.5703125" style="73" customWidth="1"/>
    <col min="13327" max="13327" width="6" style="73" customWidth="1"/>
    <col min="13328" max="13328" width="5.5703125" style="73" customWidth="1"/>
    <col min="13329" max="13330" width="5.7109375" style="73" customWidth="1"/>
    <col min="13331" max="13331" width="9.85546875" style="73" customWidth="1"/>
    <col min="13332" max="13332" width="9.7109375" style="73" customWidth="1"/>
    <col min="13333" max="13333" width="8.85546875" style="73" customWidth="1"/>
    <col min="13334" max="13334" width="10" style="73" customWidth="1"/>
    <col min="13335" max="13335" width="8.28515625" style="73" customWidth="1"/>
    <col min="13336" max="13336" width="9.5703125" style="73" customWidth="1"/>
    <col min="13337" max="13337" width="15.5703125" style="73" customWidth="1"/>
    <col min="13338" max="13569" width="9.140625" style="73"/>
    <col min="13570" max="13570" width="6.85546875" style="73" customWidth="1"/>
    <col min="13571" max="13571" width="2.140625" style="73" customWidth="1"/>
    <col min="13572" max="13572" width="6.140625" style="73" customWidth="1"/>
    <col min="13573" max="13573" width="8.85546875" style="73" customWidth="1"/>
    <col min="13574" max="13574" width="28.42578125" style="73" customWidth="1"/>
    <col min="13575" max="13575" width="13.85546875" style="73" customWidth="1"/>
    <col min="13576" max="13576" width="8.42578125" style="73" customWidth="1"/>
    <col min="13577" max="13580" width="0" style="73" hidden="1" customWidth="1"/>
    <col min="13581" max="13581" width="5.28515625" style="73" customWidth="1"/>
    <col min="13582" max="13582" width="5.5703125" style="73" customWidth="1"/>
    <col min="13583" max="13583" width="6" style="73" customWidth="1"/>
    <col min="13584" max="13584" width="5.5703125" style="73" customWidth="1"/>
    <col min="13585" max="13586" width="5.7109375" style="73" customWidth="1"/>
    <col min="13587" max="13587" width="9.85546875" style="73" customWidth="1"/>
    <col min="13588" max="13588" width="9.7109375" style="73" customWidth="1"/>
    <col min="13589" max="13589" width="8.85546875" style="73" customWidth="1"/>
    <col min="13590" max="13590" width="10" style="73" customWidth="1"/>
    <col min="13591" max="13591" width="8.28515625" style="73" customWidth="1"/>
    <col min="13592" max="13592" width="9.5703125" style="73" customWidth="1"/>
    <col min="13593" max="13593" width="15.5703125" style="73" customWidth="1"/>
    <col min="13594" max="13825" width="9.140625" style="73"/>
    <col min="13826" max="13826" width="6.85546875" style="73" customWidth="1"/>
    <col min="13827" max="13827" width="2.140625" style="73" customWidth="1"/>
    <col min="13828" max="13828" width="6.140625" style="73" customWidth="1"/>
    <col min="13829" max="13829" width="8.85546875" style="73" customWidth="1"/>
    <col min="13830" max="13830" width="28.42578125" style="73" customWidth="1"/>
    <col min="13831" max="13831" width="13.85546875" style="73" customWidth="1"/>
    <col min="13832" max="13832" width="8.42578125" style="73" customWidth="1"/>
    <col min="13833" max="13836" width="0" style="73" hidden="1" customWidth="1"/>
    <col min="13837" max="13837" width="5.28515625" style="73" customWidth="1"/>
    <col min="13838" max="13838" width="5.5703125" style="73" customWidth="1"/>
    <col min="13839" max="13839" width="6" style="73" customWidth="1"/>
    <col min="13840" max="13840" width="5.5703125" style="73" customWidth="1"/>
    <col min="13841" max="13842" width="5.7109375" style="73" customWidth="1"/>
    <col min="13843" max="13843" width="9.85546875" style="73" customWidth="1"/>
    <col min="13844" max="13844" width="9.7109375" style="73" customWidth="1"/>
    <col min="13845" max="13845" width="8.85546875" style="73" customWidth="1"/>
    <col min="13846" max="13846" width="10" style="73" customWidth="1"/>
    <col min="13847" max="13847" width="8.28515625" style="73" customWidth="1"/>
    <col min="13848" max="13848" width="9.5703125" style="73" customWidth="1"/>
    <col min="13849" max="13849" width="15.5703125" style="73" customWidth="1"/>
    <col min="13850" max="14081" width="9.140625" style="73"/>
    <col min="14082" max="14082" width="6.85546875" style="73" customWidth="1"/>
    <col min="14083" max="14083" width="2.140625" style="73" customWidth="1"/>
    <col min="14084" max="14084" width="6.140625" style="73" customWidth="1"/>
    <col min="14085" max="14085" width="8.85546875" style="73" customWidth="1"/>
    <col min="14086" max="14086" width="28.42578125" style="73" customWidth="1"/>
    <col min="14087" max="14087" width="13.85546875" style="73" customWidth="1"/>
    <col min="14088" max="14088" width="8.42578125" style="73" customWidth="1"/>
    <col min="14089" max="14092" width="0" style="73" hidden="1" customWidth="1"/>
    <col min="14093" max="14093" width="5.28515625" style="73" customWidth="1"/>
    <col min="14094" max="14094" width="5.5703125" style="73" customWidth="1"/>
    <col min="14095" max="14095" width="6" style="73" customWidth="1"/>
    <col min="14096" max="14096" width="5.5703125" style="73" customWidth="1"/>
    <col min="14097" max="14098" width="5.7109375" style="73" customWidth="1"/>
    <col min="14099" max="14099" width="9.85546875" style="73" customWidth="1"/>
    <col min="14100" max="14100" width="9.7109375" style="73" customWidth="1"/>
    <col min="14101" max="14101" width="8.85546875" style="73" customWidth="1"/>
    <col min="14102" max="14102" width="10" style="73" customWidth="1"/>
    <col min="14103" max="14103" width="8.28515625" style="73" customWidth="1"/>
    <col min="14104" max="14104" width="9.5703125" style="73" customWidth="1"/>
    <col min="14105" max="14105" width="15.5703125" style="73" customWidth="1"/>
    <col min="14106" max="14337" width="9.140625" style="73"/>
    <col min="14338" max="14338" width="6.85546875" style="73" customWidth="1"/>
    <col min="14339" max="14339" width="2.140625" style="73" customWidth="1"/>
    <col min="14340" max="14340" width="6.140625" style="73" customWidth="1"/>
    <col min="14341" max="14341" width="8.85546875" style="73" customWidth="1"/>
    <col min="14342" max="14342" width="28.42578125" style="73" customWidth="1"/>
    <col min="14343" max="14343" width="13.85546875" style="73" customWidth="1"/>
    <col min="14344" max="14344" width="8.42578125" style="73" customWidth="1"/>
    <col min="14345" max="14348" width="0" style="73" hidden="1" customWidth="1"/>
    <col min="14349" max="14349" width="5.28515625" style="73" customWidth="1"/>
    <col min="14350" max="14350" width="5.5703125" style="73" customWidth="1"/>
    <col min="14351" max="14351" width="6" style="73" customWidth="1"/>
    <col min="14352" max="14352" width="5.5703125" style="73" customWidth="1"/>
    <col min="14353" max="14354" width="5.7109375" style="73" customWidth="1"/>
    <col min="14355" max="14355" width="9.85546875" style="73" customWidth="1"/>
    <col min="14356" max="14356" width="9.7109375" style="73" customWidth="1"/>
    <col min="14357" max="14357" width="8.85546875" style="73" customWidth="1"/>
    <col min="14358" max="14358" width="10" style="73" customWidth="1"/>
    <col min="14359" max="14359" width="8.28515625" style="73" customWidth="1"/>
    <col min="14360" max="14360" width="9.5703125" style="73" customWidth="1"/>
    <col min="14361" max="14361" width="15.5703125" style="73" customWidth="1"/>
    <col min="14362" max="14593" width="9.140625" style="73"/>
    <col min="14594" max="14594" width="6.85546875" style="73" customWidth="1"/>
    <col min="14595" max="14595" width="2.140625" style="73" customWidth="1"/>
    <col min="14596" max="14596" width="6.140625" style="73" customWidth="1"/>
    <col min="14597" max="14597" width="8.85546875" style="73" customWidth="1"/>
    <col min="14598" max="14598" width="28.42578125" style="73" customWidth="1"/>
    <col min="14599" max="14599" width="13.85546875" style="73" customWidth="1"/>
    <col min="14600" max="14600" width="8.42578125" style="73" customWidth="1"/>
    <col min="14601" max="14604" width="0" style="73" hidden="1" customWidth="1"/>
    <col min="14605" max="14605" width="5.28515625" style="73" customWidth="1"/>
    <col min="14606" max="14606" width="5.5703125" style="73" customWidth="1"/>
    <col min="14607" max="14607" width="6" style="73" customWidth="1"/>
    <col min="14608" max="14608" width="5.5703125" style="73" customWidth="1"/>
    <col min="14609" max="14610" width="5.7109375" style="73" customWidth="1"/>
    <col min="14611" max="14611" width="9.85546875" style="73" customWidth="1"/>
    <col min="14612" max="14612" width="9.7109375" style="73" customWidth="1"/>
    <col min="14613" max="14613" width="8.85546875" style="73" customWidth="1"/>
    <col min="14614" max="14614" width="10" style="73" customWidth="1"/>
    <col min="14615" max="14615" width="8.28515625" style="73" customWidth="1"/>
    <col min="14616" max="14616" width="9.5703125" style="73" customWidth="1"/>
    <col min="14617" max="14617" width="15.5703125" style="73" customWidth="1"/>
    <col min="14618" max="14849" width="9.140625" style="73"/>
    <col min="14850" max="14850" width="6.85546875" style="73" customWidth="1"/>
    <col min="14851" max="14851" width="2.140625" style="73" customWidth="1"/>
    <col min="14852" max="14852" width="6.140625" style="73" customWidth="1"/>
    <col min="14853" max="14853" width="8.85546875" style="73" customWidth="1"/>
    <col min="14854" max="14854" width="28.42578125" style="73" customWidth="1"/>
    <col min="14855" max="14855" width="13.85546875" style="73" customWidth="1"/>
    <col min="14856" max="14856" width="8.42578125" style="73" customWidth="1"/>
    <col min="14857" max="14860" width="0" style="73" hidden="1" customWidth="1"/>
    <col min="14861" max="14861" width="5.28515625" style="73" customWidth="1"/>
    <col min="14862" max="14862" width="5.5703125" style="73" customWidth="1"/>
    <col min="14863" max="14863" width="6" style="73" customWidth="1"/>
    <col min="14864" max="14864" width="5.5703125" style="73" customWidth="1"/>
    <col min="14865" max="14866" width="5.7109375" style="73" customWidth="1"/>
    <col min="14867" max="14867" width="9.85546875" style="73" customWidth="1"/>
    <col min="14868" max="14868" width="9.7109375" style="73" customWidth="1"/>
    <col min="14869" max="14869" width="8.85546875" style="73" customWidth="1"/>
    <col min="14870" max="14870" width="10" style="73" customWidth="1"/>
    <col min="14871" max="14871" width="8.28515625" style="73" customWidth="1"/>
    <col min="14872" max="14872" width="9.5703125" style="73" customWidth="1"/>
    <col min="14873" max="14873" width="15.5703125" style="73" customWidth="1"/>
    <col min="14874" max="15105" width="9.140625" style="73"/>
    <col min="15106" max="15106" width="6.85546875" style="73" customWidth="1"/>
    <col min="15107" max="15107" width="2.140625" style="73" customWidth="1"/>
    <col min="15108" max="15108" width="6.140625" style="73" customWidth="1"/>
    <col min="15109" max="15109" width="8.85546875" style="73" customWidth="1"/>
    <col min="15110" max="15110" width="28.42578125" style="73" customWidth="1"/>
    <col min="15111" max="15111" width="13.85546875" style="73" customWidth="1"/>
    <col min="15112" max="15112" width="8.42578125" style="73" customWidth="1"/>
    <col min="15113" max="15116" width="0" style="73" hidden="1" customWidth="1"/>
    <col min="15117" max="15117" width="5.28515625" style="73" customWidth="1"/>
    <col min="15118" max="15118" width="5.5703125" style="73" customWidth="1"/>
    <col min="15119" max="15119" width="6" style="73" customWidth="1"/>
    <col min="15120" max="15120" width="5.5703125" style="73" customWidth="1"/>
    <col min="15121" max="15122" width="5.7109375" style="73" customWidth="1"/>
    <col min="15123" max="15123" width="9.85546875" style="73" customWidth="1"/>
    <col min="15124" max="15124" width="9.7109375" style="73" customWidth="1"/>
    <col min="15125" max="15125" width="8.85546875" style="73" customWidth="1"/>
    <col min="15126" max="15126" width="10" style="73" customWidth="1"/>
    <col min="15127" max="15127" width="8.28515625" style="73" customWidth="1"/>
    <col min="15128" max="15128" width="9.5703125" style="73" customWidth="1"/>
    <col min="15129" max="15129" width="15.5703125" style="73" customWidth="1"/>
    <col min="15130" max="15361" width="9.140625" style="73"/>
    <col min="15362" max="15362" width="6.85546875" style="73" customWidth="1"/>
    <col min="15363" max="15363" width="2.140625" style="73" customWidth="1"/>
    <col min="15364" max="15364" width="6.140625" style="73" customWidth="1"/>
    <col min="15365" max="15365" width="8.85546875" style="73" customWidth="1"/>
    <col min="15366" max="15366" width="28.42578125" style="73" customWidth="1"/>
    <col min="15367" max="15367" width="13.85546875" style="73" customWidth="1"/>
    <col min="15368" max="15368" width="8.42578125" style="73" customWidth="1"/>
    <col min="15369" max="15372" width="0" style="73" hidden="1" customWidth="1"/>
    <col min="15373" max="15373" width="5.28515625" style="73" customWidth="1"/>
    <col min="15374" max="15374" width="5.5703125" style="73" customWidth="1"/>
    <col min="15375" max="15375" width="6" style="73" customWidth="1"/>
    <col min="15376" max="15376" width="5.5703125" style="73" customWidth="1"/>
    <col min="15377" max="15378" width="5.7109375" style="73" customWidth="1"/>
    <col min="15379" max="15379" width="9.85546875" style="73" customWidth="1"/>
    <col min="15380" max="15380" width="9.7109375" style="73" customWidth="1"/>
    <col min="15381" max="15381" width="8.85546875" style="73" customWidth="1"/>
    <col min="15382" max="15382" width="10" style="73" customWidth="1"/>
    <col min="15383" max="15383" width="8.28515625" style="73" customWidth="1"/>
    <col min="15384" max="15384" width="9.5703125" style="73" customWidth="1"/>
    <col min="15385" max="15385" width="15.5703125" style="73" customWidth="1"/>
    <col min="15386" max="15617" width="9.140625" style="73"/>
    <col min="15618" max="15618" width="6.85546875" style="73" customWidth="1"/>
    <col min="15619" max="15619" width="2.140625" style="73" customWidth="1"/>
    <col min="15620" max="15620" width="6.140625" style="73" customWidth="1"/>
    <col min="15621" max="15621" width="8.85546875" style="73" customWidth="1"/>
    <col min="15622" max="15622" width="28.42578125" style="73" customWidth="1"/>
    <col min="15623" max="15623" width="13.85546875" style="73" customWidth="1"/>
    <col min="15624" max="15624" width="8.42578125" style="73" customWidth="1"/>
    <col min="15625" max="15628" width="0" style="73" hidden="1" customWidth="1"/>
    <col min="15629" max="15629" width="5.28515625" style="73" customWidth="1"/>
    <col min="15630" max="15630" width="5.5703125" style="73" customWidth="1"/>
    <col min="15631" max="15631" width="6" style="73" customWidth="1"/>
    <col min="15632" max="15632" width="5.5703125" style="73" customWidth="1"/>
    <col min="15633" max="15634" width="5.7109375" style="73" customWidth="1"/>
    <col min="15635" max="15635" width="9.85546875" style="73" customWidth="1"/>
    <col min="15636" max="15636" width="9.7109375" style="73" customWidth="1"/>
    <col min="15637" max="15637" width="8.85546875" style="73" customWidth="1"/>
    <col min="15638" max="15638" width="10" style="73" customWidth="1"/>
    <col min="15639" max="15639" width="8.28515625" style="73" customWidth="1"/>
    <col min="15640" max="15640" width="9.5703125" style="73" customWidth="1"/>
    <col min="15641" max="15641" width="15.5703125" style="73" customWidth="1"/>
    <col min="15642" max="15873" width="9.140625" style="73"/>
    <col min="15874" max="15874" width="6.85546875" style="73" customWidth="1"/>
    <col min="15875" max="15875" width="2.140625" style="73" customWidth="1"/>
    <col min="15876" max="15876" width="6.140625" style="73" customWidth="1"/>
    <col min="15877" max="15877" width="8.85546875" style="73" customWidth="1"/>
    <col min="15878" max="15878" width="28.42578125" style="73" customWidth="1"/>
    <col min="15879" max="15879" width="13.85546875" style="73" customWidth="1"/>
    <col min="15880" max="15880" width="8.42578125" style="73" customWidth="1"/>
    <col min="15881" max="15884" width="0" style="73" hidden="1" customWidth="1"/>
    <col min="15885" max="15885" width="5.28515625" style="73" customWidth="1"/>
    <col min="15886" max="15886" width="5.5703125" style="73" customWidth="1"/>
    <col min="15887" max="15887" width="6" style="73" customWidth="1"/>
    <col min="15888" max="15888" width="5.5703125" style="73" customWidth="1"/>
    <col min="15889" max="15890" width="5.7109375" style="73" customWidth="1"/>
    <col min="15891" max="15891" width="9.85546875" style="73" customWidth="1"/>
    <col min="15892" max="15892" width="9.7109375" style="73" customWidth="1"/>
    <col min="15893" max="15893" width="8.85546875" style="73" customWidth="1"/>
    <col min="15894" max="15894" width="10" style="73" customWidth="1"/>
    <col min="15895" max="15895" width="8.28515625" style="73" customWidth="1"/>
    <col min="15896" max="15896" width="9.5703125" style="73" customWidth="1"/>
    <col min="15897" max="15897" width="15.5703125" style="73" customWidth="1"/>
    <col min="15898" max="16129" width="9.140625" style="73"/>
    <col min="16130" max="16130" width="6.85546875" style="73" customWidth="1"/>
    <col min="16131" max="16131" width="2.140625" style="73" customWidth="1"/>
    <col min="16132" max="16132" width="6.140625" style="73" customWidth="1"/>
    <col min="16133" max="16133" width="8.85546875" style="73" customWidth="1"/>
    <col min="16134" max="16134" width="28.42578125" style="73" customWidth="1"/>
    <col min="16135" max="16135" width="13.85546875" style="73" customWidth="1"/>
    <col min="16136" max="16136" width="8.42578125" style="73" customWidth="1"/>
    <col min="16137" max="16140" width="0" style="73" hidden="1" customWidth="1"/>
    <col min="16141" max="16141" width="5.28515625" style="73" customWidth="1"/>
    <col min="16142" max="16142" width="5.5703125" style="73" customWidth="1"/>
    <col min="16143" max="16143" width="6" style="73" customWidth="1"/>
    <col min="16144" max="16144" width="5.5703125" style="73" customWidth="1"/>
    <col min="16145" max="16146" width="5.7109375" style="73" customWidth="1"/>
    <col min="16147" max="16147" width="9.85546875" style="73" customWidth="1"/>
    <col min="16148" max="16148" width="9.7109375" style="73" customWidth="1"/>
    <col min="16149" max="16149" width="8.85546875" style="73" customWidth="1"/>
    <col min="16150" max="16150" width="10" style="73" customWidth="1"/>
    <col min="16151" max="16151" width="8.28515625" style="73" customWidth="1"/>
    <col min="16152" max="16152" width="9.5703125" style="73" customWidth="1"/>
    <col min="16153" max="16153" width="15.5703125" style="73" customWidth="1"/>
    <col min="16154" max="16384" width="9.140625" style="73"/>
  </cols>
  <sheetData>
    <row r="1" spans="1:37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"/>
      <c r="AE1" s="1"/>
      <c r="AF1" s="1"/>
      <c r="AG1" s="1"/>
    </row>
    <row r="2" spans="1:37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"/>
      <c r="AE2" s="2"/>
      <c r="AF2" s="2"/>
      <c r="AG2" s="2"/>
    </row>
    <row r="3" spans="1:37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"/>
      <c r="AE3" s="2"/>
      <c r="AF3" s="2"/>
      <c r="AG3" s="2"/>
    </row>
    <row r="4" spans="1:37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</row>
    <row r="5" spans="1:37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7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4"/>
      <c r="AE6" s="4"/>
      <c r="AF6" s="4"/>
    </row>
    <row r="7" spans="1:37" s="6" customFormat="1" ht="18.75" customHeight="1">
      <c r="A7" s="5" t="s">
        <v>6</v>
      </c>
      <c r="C7" s="7"/>
      <c r="D7" s="7" t="s">
        <v>55</v>
      </c>
      <c r="E7" s="7"/>
      <c r="F7" s="7"/>
      <c r="G7" s="5"/>
    </row>
    <row r="8" spans="1:37" s="8" customFormat="1" ht="18.75" customHeight="1">
      <c r="A8" s="5" t="s">
        <v>7</v>
      </c>
      <c r="C8" s="9"/>
      <c r="D8" s="10">
        <v>4500457758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7" s="8" customFormat="1" ht="18.75" customHeight="1">
      <c r="A9" s="12"/>
      <c r="C9" s="81"/>
      <c r="D9" s="13" t="s">
        <v>56</v>
      </c>
      <c r="E9" s="13"/>
      <c r="F9" s="14"/>
      <c r="G9" s="10" t="s">
        <v>45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8" customFormat="1" ht="18.75" customHeight="1">
      <c r="A10" s="12"/>
      <c r="C10" s="81"/>
      <c r="D10" s="334" t="s">
        <v>57</v>
      </c>
      <c r="E10" s="334"/>
      <c r="F10" s="334"/>
      <c r="G10" s="33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8.75" customHeight="1">
      <c r="A11" s="12"/>
      <c r="C11" s="81"/>
      <c r="D11" s="16"/>
      <c r="E11" s="16"/>
      <c r="F11" s="14"/>
      <c r="G11" s="10"/>
      <c r="H11" s="7" t="s">
        <v>51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 t="s">
        <v>101</v>
      </c>
      <c r="T11" s="6"/>
      <c r="U11" s="6"/>
      <c r="V11" s="6"/>
      <c r="W11" s="6"/>
    </row>
    <row r="12" spans="1:37" s="8" customFormat="1" ht="18.75" customHeight="1" thickBot="1">
      <c r="A12" s="12" t="s">
        <v>9</v>
      </c>
      <c r="C12" s="250">
        <f>+T23</f>
        <v>408</v>
      </c>
      <c r="D12" s="250"/>
      <c r="E12" s="81"/>
      <c r="F12" s="14"/>
      <c r="G12" s="10"/>
      <c r="H12" s="9" t="s">
        <v>100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8" t="str">
        <f>+D9</f>
        <v>BI STRETCH GRID JACKET -HUSKY</v>
      </c>
      <c r="T12" s="19"/>
      <c r="U12" s="19"/>
      <c r="V12" s="19"/>
      <c r="W12" s="19"/>
    </row>
    <row r="13" spans="1:37" s="22" customFormat="1" ht="22.5" customHeight="1" thickBot="1">
      <c r="A13" s="251" t="s">
        <v>11</v>
      </c>
      <c r="B13" s="252"/>
      <c r="C13" s="253"/>
      <c r="D13" s="260" t="s">
        <v>65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0"/>
      <c r="Q13" s="230"/>
      <c r="R13" s="231"/>
      <c r="S13" s="232" t="s">
        <v>66</v>
      </c>
      <c r="T13" s="235" t="s">
        <v>19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24" t="s">
        <v>52</v>
      </c>
      <c r="AA13" s="238" t="s">
        <v>25</v>
      </c>
      <c r="AB13" s="239"/>
      <c r="AC13" s="240"/>
      <c r="AD13" s="224" t="s">
        <v>26</v>
      </c>
    </row>
    <row r="14" spans="1:37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 t="s">
        <v>58</v>
      </c>
      <c r="J14" s="227" t="s">
        <v>59</v>
      </c>
      <c r="K14" s="227" t="s">
        <v>60</v>
      </c>
      <c r="L14" s="227" t="s">
        <v>61</v>
      </c>
      <c r="M14" s="227" t="s">
        <v>62</v>
      </c>
      <c r="N14" s="227" t="s">
        <v>63</v>
      </c>
      <c r="O14" s="227" t="s">
        <v>64</v>
      </c>
      <c r="P14" s="215" t="s">
        <v>53</v>
      </c>
      <c r="Q14" s="217" t="s">
        <v>27</v>
      </c>
      <c r="R14" s="211" t="s">
        <v>28</v>
      </c>
      <c r="S14" s="233"/>
      <c r="T14" s="236"/>
      <c r="U14" s="23"/>
      <c r="V14" s="23"/>
      <c r="W14" s="23"/>
      <c r="X14" s="24"/>
      <c r="Y14" s="236"/>
      <c r="Z14" s="225"/>
      <c r="AA14" s="241"/>
      <c r="AB14" s="242"/>
      <c r="AC14" s="243"/>
      <c r="AD14" s="225"/>
    </row>
    <row r="15" spans="1:37" s="22" customFormat="1" ht="24" customHeight="1" thickBot="1">
      <c r="A15" s="257"/>
      <c r="B15" s="258"/>
      <c r="C15" s="259"/>
      <c r="D15" s="262"/>
      <c r="E15" s="262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6"/>
      <c r="Q15" s="218"/>
      <c r="R15" s="212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226"/>
      <c r="AA15" s="26" t="s">
        <v>4</v>
      </c>
      <c r="AB15" s="26" t="s">
        <v>30</v>
      </c>
      <c r="AC15" s="26" t="s">
        <v>31</v>
      </c>
      <c r="AD15" s="226"/>
    </row>
    <row r="16" spans="1:37" s="42" customFormat="1" ht="27.75" customHeight="1">
      <c r="A16" s="87">
        <v>1</v>
      </c>
      <c r="B16" s="88" t="s">
        <v>32</v>
      </c>
      <c r="C16" s="87">
        <f t="shared" ref="C16:C22" si="0">+A16+D16-1</f>
        <v>18</v>
      </c>
      <c r="D16" s="29">
        <f t="shared" ref="D16:D22" si="1">+T16/S16</f>
        <v>18</v>
      </c>
      <c r="E16" s="85" t="s">
        <v>79</v>
      </c>
      <c r="F16" s="28" t="str">
        <f>+D7</f>
        <v>361043K-404-PC</v>
      </c>
      <c r="G16" s="28" t="s">
        <v>48</v>
      </c>
      <c r="H16" s="30">
        <f>+D8</f>
        <v>4500457758</v>
      </c>
      <c r="I16" s="31">
        <v>1</v>
      </c>
      <c r="J16" s="31"/>
      <c r="K16" s="31"/>
      <c r="L16" s="31"/>
      <c r="M16" s="31"/>
      <c r="N16" s="31"/>
      <c r="O16" s="31"/>
      <c r="P16" s="30"/>
      <c r="Q16" s="30"/>
      <c r="R16" s="30"/>
      <c r="S16" s="28">
        <f t="shared" ref="S16:S22" si="2">+SUM(I16:O16)</f>
        <v>1</v>
      </c>
      <c r="T16" s="28">
        <v>18</v>
      </c>
      <c r="U16" s="32">
        <f t="shared" ref="U16:V20" si="3">+U17-0.2</f>
        <v>0.75000000000000022</v>
      </c>
      <c r="V16" s="32">
        <f t="shared" si="3"/>
        <v>0.80000000000000027</v>
      </c>
      <c r="W16" s="33">
        <f t="shared" ref="W16:W22" si="4">+U16*D16</f>
        <v>13.500000000000004</v>
      </c>
      <c r="X16" s="34">
        <f t="shared" ref="X16:X22" si="5">+V16*D16</f>
        <v>14.400000000000006</v>
      </c>
      <c r="Y16" s="35"/>
      <c r="Z16" s="89" t="s">
        <v>68</v>
      </c>
      <c r="AA16" s="37"/>
      <c r="AB16" s="38"/>
      <c r="AC16" s="37"/>
      <c r="AD16" s="36"/>
      <c r="AE16" s="39" t="e">
        <f>+RIGHT((#REF!),6)</f>
        <v>#REF!</v>
      </c>
      <c r="AF16" s="40" t="e">
        <f>+AE16-D16+1</f>
        <v>#REF!</v>
      </c>
      <c r="AG16" s="41" t="e">
        <f>+AE16-AF16+1</f>
        <v>#REF!</v>
      </c>
      <c r="AH16" s="41" t="e">
        <f>+AG16-D16</f>
        <v>#REF!</v>
      </c>
    </row>
    <row r="17" spans="1:35" s="42" customFormat="1" ht="27.75" customHeight="1">
      <c r="A17" s="27">
        <f>+C16+1</f>
        <v>19</v>
      </c>
      <c r="B17" s="28" t="s">
        <v>32</v>
      </c>
      <c r="C17" s="27">
        <f t="shared" si="0"/>
        <v>72</v>
      </c>
      <c r="D17" s="29">
        <f t="shared" si="1"/>
        <v>54</v>
      </c>
      <c r="E17" s="85" t="s">
        <v>80</v>
      </c>
      <c r="F17" s="28" t="str">
        <f>+F16</f>
        <v>361043K-404-PC</v>
      </c>
      <c r="G17" s="28" t="str">
        <f>+G16</f>
        <v>404 BANK BLUE</v>
      </c>
      <c r="H17" s="30">
        <f>+H16</f>
        <v>4500457758</v>
      </c>
      <c r="I17" s="31"/>
      <c r="J17" s="31">
        <v>1</v>
      </c>
      <c r="K17" s="31"/>
      <c r="L17" s="31"/>
      <c r="M17" s="31"/>
      <c r="N17" s="31"/>
      <c r="O17" s="31"/>
      <c r="P17" s="30"/>
      <c r="Q17" s="30"/>
      <c r="R17" s="30"/>
      <c r="S17" s="28">
        <f t="shared" si="2"/>
        <v>1</v>
      </c>
      <c r="T17" s="28">
        <v>54</v>
      </c>
      <c r="U17" s="32">
        <f t="shared" si="3"/>
        <v>0.95000000000000018</v>
      </c>
      <c r="V17" s="32">
        <f t="shared" si="3"/>
        <v>1.0000000000000002</v>
      </c>
      <c r="W17" s="33">
        <f t="shared" si="4"/>
        <v>51.300000000000011</v>
      </c>
      <c r="X17" s="34">
        <f t="shared" si="5"/>
        <v>54.000000000000014</v>
      </c>
      <c r="Y17" s="35"/>
      <c r="Z17" s="89" t="s">
        <v>68</v>
      </c>
      <c r="AA17" s="37"/>
      <c r="AB17" s="38"/>
      <c r="AC17" s="37"/>
      <c r="AD17" s="35"/>
      <c r="AE17" s="36"/>
      <c r="AF17" s="39" t="e">
        <f>+RIGHT((#REF!),6)</f>
        <v>#REF!</v>
      </c>
      <c r="AG17" s="40" t="e">
        <f>+AF17-D17+1</f>
        <v>#REF!</v>
      </c>
      <c r="AH17" s="41" t="e">
        <f>+AF17-AG17+1</f>
        <v>#REF!</v>
      </c>
      <c r="AI17" s="41" t="e">
        <f>+AH17-D17</f>
        <v>#REF!</v>
      </c>
    </row>
    <row r="18" spans="1:35" s="42" customFormat="1" ht="27.75" customHeight="1">
      <c r="A18" s="27">
        <f t="shared" ref="A18:A22" si="6">+C17+1</f>
        <v>73</v>
      </c>
      <c r="B18" s="88" t="s">
        <v>32</v>
      </c>
      <c r="C18" s="27">
        <f t="shared" si="0"/>
        <v>114</v>
      </c>
      <c r="D18" s="29">
        <f t="shared" si="1"/>
        <v>42</v>
      </c>
      <c r="E18" s="85" t="s">
        <v>81</v>
      </c>
      <c r="F18" s="28" t="str">
        <f t="shared" ref="F18:H22" si="7">+F17</f>
        <v>361043K-404-PC</v>
      </c>
      <c r="G18" s="28" t="str">
        <f t="shared" si="7"/>
        <v>404 BANK BLUE</v>
      </c>
      <c r="H18" s="30">
        <f t="shared" si="7"/>
        <v>4500457758</v>
      </c>
      <c r="I18" s="31"/>
      <c r="J18" s="31"/>
      <c r="K18" s="31">
        <v>1</v>
      </c>
      <c r="L18" s="31"/>
      <c r="M18" s="31"/>
      <c r="N18" s="31"/>
      <c r="O18" s="31"/>
      <c r="P18" s="30"/>
      <c r="Q18" s="30"/>
      <c r="R18" s="30"/>
      <c r="S18" s="28">
        <f t="shared" si="2"/>
        <v>1</v>
      </c>
      <c r="T18" s="28">
        <v>42</v>
      </c>
      <c r="U18" s="32">
        <f t="shared" si="3"/>
        <v>1.1500000000000001</v>
      </c>
      <c r="V18" s="32">
        <f t="shared" si="3"/>
        <v>1.2000000000000002</v>
      </c>
      <c r="W18" s="33">
        <f t="shared" si="4"/>
        <v>48.300000000000004</v>
      </c>
      <c r="X18" s="34">
        <f t="shared" si="5"/>
        <v>50.400000000000006</v>
      </c>
      <c r="Y18" s="35"/>
      <c r="Z18" s="89" t="s">
        <v>68</v>
      </c>
      <c r="AA18" s="37"/>
      <c r="AB18" s="38"/>
      <c r="AC18" s="37"/>
      <c r="AD18" s="36"/>
      <c r="AE18" s="39" t="e">
        <f>+RIGHT((#REF!),6)</f>
        <v>#REF!</v>
      </c>
      <c r="AF18" s="40" t="e">
        <f>+AE18-D18+1</f>
        <v>#REF!</v>
      </c>
      <c r="AG18" s="41" t="e">
        <f>+AE18-AF18+1</f>
        <v>#REF!</v>
      </c>
      <c r="AH18" s="41" t="e">
        <f>+AG18-D18</f>
        <v>#REF!</v>
      </c>
    </row>
    <row r="19" spans="1:35" s="42" customFormat="1" ht="27.75" customHeight="1">
      <c r="A19" s="27">
        <f t="shared" si="6"/>
        <v>115</v>
      </c>
      <c r="B19" s="28" t="s">
        <v>32</v>
      </c>
      <c r="C19" s="27">
        <f t="shared" si="0"/>
        <v>180</v>
      </c>
      <c r="D19" s="29">
        <f t="shared" si="1"/>
        <v>66</v>
      </c>
      <c r="E19" s="85" t="s">
        <v>82</v>
      </c>
      <c r="F19" s="28" t="str">
        <f t="shared" si="7"/>
        <v>361043K-404-PC</v>
      </c>
      <c r="G19" s="28" t="str">
        <f t="shared" si="7"/>
        <v>404 BANK BLUE</v>
      </c>
      <c r="H19" s="30">
        <f t="shared" si="7"/>
        <v>4500457758</v>
      </c>
      <c r="I19" s="31"/>
      <c r="J19" s="31"/>
      <c r="K19" s="31"/>
      <c r="L19" s="31">
        <v>1</v>
      </c>
      <c r="M19" s="31"/>
      <c r="N19" s="31"/>
      <c r="O19" s="31"/>
      <c r="P19" s="30"/>
      <c r="Q19" s="30"/>
      <c r="R19" s="30"/>
      <c r="S19" s="28">
        <f t="shared" si="2"/>
        <v>1</v>
      </c>
      <c r="T19" s="28">
        <v>66</v>
      </c>
      <c r="U19" s="32">
        <f t="shared" si="3"/>
        <v>1.35</v>
      </c>
      <c r="V19" s="32">
        <f t="shared" si="3"/>
        <v>1.4000000000000001</v>
      </c>
      <c r="W19" s="33">
        <f t="shared" si="4"/>
        <v>89.100000000000009</v>
      </c>
      <c r="X19" s="34">
        <f t="shared" si="5"/>
        <v>92.4</v>
      </c>
      <c r="Y19" s="35"/>
      <c r="Z19" s="89" t="s">
        <v>68</v>
      </c>
      <c r="AA19" s="37"/>
      <c r="AB19" s="38"/>
      <c r="AC19" s="37"/>
      <c r="AD19" s="35"/>
      <c r="AE19" s="36"/>
      <c r="AF19" s="39" t="e">
        <f>+RIGHT((#REF!),6)</f>
        <v>#REF!</v>
      </c>
      <c r="AG19" s="40" t="e">
        <f>+AF19-D19+1</f>
        <v>#REF!</v>
      </c>
      <c r="AH19" s="41" t="e">
        <f>+AF19-AG19+1</f>
        <v>#REF!</v>
      </c>
      <c r="AI19" s="41" t="e">
        <f>+AH19-D19</f>
        <v>#REF!</v>
      </c>
    </row>
    <row r="20" spans="1:35" s="42" customFormat="1" ht="27.75" customHeight="1">
      <c r="A20" s="27">
        <f t="shared" si="6"/>
        <v>181</v>
      </c>
      <c r="B20" s="28" t="s">
        <v>32</v>
      </c>
      <c r="C20" s="27">
        <f t="shared" si="0"/>
        <v>270</v>
      </c>
      <c r="D20" s="29">
        <f t="shared" si="1"/>
        <v>90</v>
      </c>
      <c r="E20" s="85" t="s">
        <v>83</v>
      </c>
      <c r="F20" s="28" t="str">
        <f t="shared" si="7"/>
        <v>361043K-404-PC</v>
      </c>
      <c r="G20" s="28" t="str">
        <f t="shared" si="7"/>
        <v>404 BANK BLUE</v>
      </c>
      <c r="H20" s="30">
        <f t="shared" si="7"/>
        <v>4500457758</v>
      </c>
      <c r="I20" s="31"/>
      <c r="J20" s="31"/>
      <c r="K20" s="31"/>
      <c r="L20" s="31"/>
      <c r="M20" s="31">
        <v>1</v>
      </c>
      <c r="N20" s="31"/>
      <c r="O20" s="31"/>
      <c r="P20" s="30"/>
      <c r="Q20" s="30"/>
      <c r="R20" s="30"/>
      <c r="S20" s="28">
        <f t="shared" si="2"/>
        <v>1</v>
      </c>
      <c r="T20" s="28">
        <v>90</v>
      </c>
      <c r="U20" s="32">
        <f t="shared" si="3"/>
        <v>1.55</v>
      </c>
      <c r="V20" s="32">
        <f t="shared" si="3"/>
        <v>1.6</v>
      </c>
      <c r="W20" s="33">
        <f t="shared" si="4"/>
        <v>139.5</v>
      </c>
      <c r="X20" s="34">
        <f t="shared" si="5"/>
        <v>144</v>
      </c>
      <c r="Y20" s="35"/>
      <c r="Z20" s="89" t="s">
        <v>68</v>
      </c>
      <c r="AA20" s="37"/>
      <c r="AB20" s="38"/>
      <c r="AC20" s="37"/>
      <c r="AD20" s="35"/>
      <c r="AE20" s="36"/>
      <c r="AF20" s="39" t="e">
        <f>+RIGHT((#REF!),6)</f>
        <v>#REF!</v>
      </c>
      <c r="AG20" s="40" t="e">
        <f>+AF20-D20+1</f>
        <v>#REF!</v>
      </c>
      <c r="AH20" s="41" t="e">
        <f>+AF20-AG20+1</f>
        <v>#REF!</v>
      </c>
      <c r="AI20" s="41" t="e">
        <f>+AH20-D20</f>
        <v>#REF!</v>
      </c>
    </row>
    <row r="21" spans="1:35" s="42" customFormat="1" ht="27.75" customHeight="1">
      <c r="A21" s="27">
        <f t="shared" si="6"/>
        <v>271</v>
      </c>
      <c r="B21" s="88" t="s">
        <v>32</v>
      </c>
      <c r="C21" s="27">
        <f t="shared" si="0"/>
        <v>342</v>
      </c>
      <c r="D21" s="29">
        <f t="shared" si="1"/>
        <v>72</v>
      </c>
      <c r="E21" s="85" t="s">
        <v>84</v>
      </c>
      <c r="F21" s="28" t="str">
        <f t="shared" si="7"/>
        <v>361043K-404-PC</v>
      </c>
      <c r="G21" s="28" t="str">
        <f t="shared" si="7"/>
        <v>404 BANK BLUE</v>
      </c>
      <c r="H21" s="30">
        <f t="shared" si="7"/>
        <v>4500457758</v>
      </c>
      <c r="I21" s="31"/>
      <c r="J21" s="31"/>
      <c r="K21" s="31"/>
      <c r="L21" s="31"/>
      <c r="M21" s="31"/>
      <c r="N21" s="31">
        <v>1</v>
      </c>
      <c r="O21" s="31"/>
      <c r="P21" s="30"/>
      <c r="Q21" s="30"/>
      <c r="R21" s="30"/>
      <c r="S21" s="28">
        <f t="shared" si="2"/>
        <v>1</v>
      </c>
      <c r="T21" s="28">
        <v>72</v>
      </c>
      <c r="U21" s="32">
        <f>+U22-0.05</f>
        <v>1.75</v>
      </c>
      <c r="V21" s="32">
        <f>+V22-0.2</f>
        <v>1.8</v>
      </c>
      <c r="W21" s="33">
        <f t="shared" si="4"/>
        <v>126</v>
      </c>
      <c r="X21" s="34">
        <f t="shared" si="5"/>
        <v>129.6</v>
      </c>
      <c r="Y21" s="35"/>
      <c r="Z21" s="89" t="s">
        <v>68</v>
      </c>
      <c r="AA21" s="37"/>
      <c r="AB21" s="38"/>
      <c r="AC21" s="37"/>
      <c r="AD21" s="36"/>
      <c r="AE21" s="39" t="str">
        <f>+RIGHT((E1:E21),6)</f>
        <v>187523</v>
      </c>
      <c r="AF21" s="40">
        <f>+AE21-D21+1</f>
        <v>187452</v>
      </c>
      <c r="AG21" s="41">
        <f>+AE21-AF21+1</f>
        <v>72</v>
      </c>
      <c r="AH21" s="41">
        <f>+AG21-D21</f>
        <v>0</v>
      </c>
    </row>
    <row r="22" spans="1:35" s="42" customFormat="1" ht="27.75" customHeight="1">
      <c r="A22" s="27">
        <f t="shared" si="6"/>
        <v>343</v>
      </c>
      <c r="B22" s="28" t="s">
        <v>32</v>
      </c>
      <c r="C22" s="27">
        <f t="shared" si="0"/>
        <v>408</v>
      </c>
      <c r="D22" s="29">
        <f t="shared" si="1"/>
        <v>66</v>
      </c>
      <c r="E22" s="85" t="s">
        <v>85</v>
      </c>
      <c r="F22" s="28" t="str">
        <f t="shared" si="7"/>
        <v>361043K-404-PC</v>
      </c>
      <c r="G22" s="28" t="str">
        <f t="shared" si="7"/>
        <v>404 BANK BLUE</v>
      </c>
      <c r="H22" s="30">
        <f t="shared" si="7"/>
        <v>4500457758</v>
      </c>
      <c r="I22" s="31"/>
      <c r="J22" s="31"/>
      <c r="K22" s="31"/>
      <c r="L22" s="31"/>
      <c r="M22" s="31"/>
      <c r="N22" s="31"/>
      <c r="O22" s="31">
        <v>1</v>
      </c>
      <c r="P22" s="30"/>
      <c r="Q22" s="30"/>
      <c r="R22" s="30"/>
      <c r="S22" s="28">
        <f t="shared" si="2"/>
        <v>1</v>
      </c>
      <c r="T22" s="28">
        <v>66</v>
      </c>
      <c r="U22" s="32">
        <v>1.8</v>
      </c>
      <c r="V22" s="32">
        <v>2</v>
      </c>
      <c r="W22" s="33">
        <f t="shared" si="4"/>
        <v>118.8</v>
      </c>
      <c r="X22" s="34">
        <f t="shared" si="5"/>
        <v>132</v>
      </c>
      <c r="Y22" s="35"/>
      <c r="Z22" s="89" t="s">
        <v>68</v>
      </c>
      <c r="AA22" s="37"/>
      <c r="AB22" s="38"/>
      <c r="AC22" s="37"/>
      <c r="AD22" s="35"/>
      <c r="AE22" s="36"/>
      <c r="AF22" s="39" t="str">
        <f>+RIGHT((E2:E22),6)</f>
        <v>187534</v>
      </c>
      <c r="AG22" s="40">
        <f>+AF22-D22+1</f>
        <v>187469</v>
      </c>
      <c r="AH22" s="41">
        <f>+AF22-AG22+1</f>
        <v>66</v>
      </c>
      <c r="AI22" s="41">
        <f>+AH22-D22</f>
        <v>0</v>
      </c>
    </row>
    <row r="23" spans="1:35" s="42" customFormat="1" ht="24" customHeight="1">
      <c r="A23" s="219" t="s">
        <v>33</v>
      </c>
      <c r="B23" s="220"/>
      <c r="C23" s="221"/>
      <c r="D23" s="44">
        <f>SUM(D16:D22)</f>
        <v>408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4">
        <f>SUM(T16:T22)</f>
        <v>408</v>
      </c>
      <c r="U23" s="49"/>
      <c r="V23" s="49"/>
      <c r="W23" s="50">
        <f>SUM(W16:W22)</f>
        <v>586.5</v>
      </c>
      <c r="X23" s="50">
        <f>SUM(X16:X22)</f>
        <v>616.80000000000007</v>
      </c>
      <c r="Y23" s="51"/>
      <c r="Z23" s="90"/>
      <c r="AA23" s="52"/>
      <c r="AB23" s="3"/>
      <c r="AC23" s="53"/>
      <c r="AD23" s="8"/>
      <c r="AE23" s="8"/>
    </row>
    <row r="24" spans="1:35" s="42" customFormat="1" ht="12.75" customHeight="1">
      <c r="A24" s="54"/>
      <c r="B24" s="22"/>
      <c r="C24" s="22"/>
      <c r="D24" s="55"/>
      <c r="E24" s="4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6"/>
      <c r="T24" s="57"/>
      <c r="U24" s="22"/>
      <c r="V24" s="22"/>
      <c r="W24" s="57"/>
      <c r="X24" s="57"/>
      <c r="Y24" s="58"/>
      <c r="Z24" s="58"/>
      <c r="AA24" s="3"/>
      <c r="AB24" s="3"/>
      <c r="AC24" s="53"/>
      <c r="AD24" s="8"/>
      <c r="AE24" s="8"/>
    </row>
    <row r="25" spans="1:35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  <c r="T25" s="60"/>
      <c r="U25" s="22"/>
      <c r="V25" s="56"/>
      <c r="W25" s="57"/>
      <c r="X25" s="57"/>
      <c r="Y25" s="61"/>
      <c r="Z25" s="61"/>
      <c r="AA25" s="3"/>
      <c r="AB25" s="3"/>
      <c r="AC25" s="53"/>
      <c r="AD25" s="8"/>
      <c r="AE25" s="8"/>
    </row>
    <row r="26" spans="1:35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22" t="str">
        <f>+H13</f>
        <v>Po#</v>
      </c>
      <c r="I26" s="213" t="str">
        <f t="shared" ref="I26:O26" si="8">+I14</f>
        <v>8H</v>
      </c>
      <c r="J26" s="213" t="str">
        <f t="shared" si="8"/>
        <v>10H</v>
      </c>
      <c r="K26" s="213" t="str">
        <f t="shared" si="8"/>
        <v>12H</v>
      </c>
      <c r="L26" s="213" t="str">
        <f t="shared" si="8"/>
        <v>14H</v>
      </c>
      <c r="M26" s="213" t="str">
        <f t="shared" si="8"/>
        <v>16H</v>
      </c>
      <c r="N26" s="213" t="str">
        <f t="shared" si="8"/>
        <v>18H</v>
      </c>
      <c r="O26" s="213" t="str">
        <f t="shared" si="8"/>
        <v>20H</v>
      </c>
      <c r="P26" s="335"/>
      <c r="Q26" s="335"/>
      <c r="R26" s="335"/>
      <c r="S26" s="222" t="s">
        <v>35</v>
      </c>
      <c r="T26" s="63"/>
      <c r="U26" s="62"/>
      <c r="V26" s="62"/>
      <c r="W26" s="62"/>
      <c r="X26" s="62"/>
      <c r="Y26" s="61"/>
      <c r="Z26" s="61"/>
      <c r="AD26" s="12"/>
      <c r="AE26" s="12"/>
      <c r="AG26" s="64" t="s">
        <v>54</v>
      </c>
    </row>
    <row r="27" spans="1:35" s="64" customFormat="1" ht="20.25" customHeight="1">
      <c r="B27" s="65"/>
      <c r="C27" s="65"/>
      <c r="D27" s="66"/>
      <c r="E27" s="66"/>
      <c r="F27" s="223"/>
      <c r="G27" s="223"/>
      <c r="H27" s="223"/>
      <c r="I27" s="214"/>
      <c r="J27" s="214" t="str">
        <f>+J14</f>
        <v>10H</v>
      </c>
      <c r="K27" s="214"/>
      <c r="L27" s="214" t="str">
        <f>+L14</f>
        <v>14H</v>
      </c>
      <c r="M27" s="214" t="str">
        <f>+M14</f>
        <v>16H</v>
      </c>
      <c r="N27" s="214" t="str">
        <f>+N14</f>
        <v>18H</v>
      </c>
      <c r="O27" s="214" t="str">
        <f>+O14</f>
        <v>20H</v>
      </c>
      <c r="P27" s="91" t="str">
        <f>P14</f>
        <v>32/38</v>
      </c>
      <c r="Q27" s="91" t="str">
        <f>Q14</f>
        <v>32/40</v>
      </c>
      <c r="R27" s="91" t="str">
        <f>+R14</f>
        <v>32/42</v>
      </c>
      <c r="S27" s="223"/>
      <c r="T27" s="65"/>
      <c r="U27" s="65"/>
      <c r="V27" s="65"/>
      <c r="W27" s="65"/>
      <c r="X27" s="65"/>
      <c r="AD27" s="12"/>
      <c r="AE27" s="12"/>
    </row>
    <row r="28" spans="1:35" s="64" customFormat="1" ht="23.25" customHeight="1">
      <c r="B28" s="65"/>
      <c r="C28" s="65"/>
      <c r="D28" s="65"/>
      <c r="E28" s="65"/>
      <c r="F28" s="67" t="str">
        <f>+F19</f>
        <v>361043K-404-PC</v>
      </c>
      <c r="G28" s="67" t="str">
        <f>+G19</f>
        <v>404 BANK BLUE</v>
      </c>
      <c r="H28" s="30">
        <f>+H19</f>
        <v>4500457758</v>
      </c>
      <c r="I28" s="70">
        <f>+I16*$D$16</f>
        <v>18</v>
      </c>
      <c r="J28" s="70">
        <f t="shared" ref="J28:O28" si="9">+J16*$D$16</f>
        <v>0</v>
      </c>
      <c r="K28" s="70">
        <f t="shared" si="9"/>
        <v>0</v>
      </c>
      <c r="L28" s="70">
        <f t="shared" si="9"/>
        <v>0</v>
      </c>
      <c r="M28" s="70">
        <f t="shared" si="9"/>
        <v>0</v>
      </c>
      <c r="N28" s="70">
        <f t="shared" si="9"/>
        <v>0</v>
      </c>
      <c r="O28" s="70">
        <f t="shared" si="9"/>
        <v>0</v>
      </c>
      <c r="P28" s="70" t="e">
        <f>+#REF!</f>
        <v>#REF!</v>
      </c>
      <c r="Q28" s="70" t="e">
        <f>+#REF!</f>
        <v>#REF!</v>
      </c>
      <c r="R28" s="70" t="e">
        <f>+#REF!</f>
        <v>#REF!</v>
      </c>
      <c r="S28" s="71">
        <f t="shared" ref="S28:S34" si="10">+SUM(I28:O28)</f>
        <v>18</v>
      </c>
      <c r="T28" s="62"/>
      <c r="U28" s="62"/>
      <c r="V28" s="62"/>
      <c r="W28" s="62"/>
      <c r="X28" s="62"/>
      <c r="Y28" s="61"/>
      <c r="Z28" s="61"/>
      <c r="AD28" s="12"/>
      <c r="AE28" s="12"/>
    </row>
    <row r="29" spans="1:35" s="64" customFormat="1" ht="23.25" customHeight="1">
      <c r="B29" s="65"/>
      <c r="C29" s="65"/>
      <c r="D29" s="65"/>
      <c r="E29" s="65"/>
      <c r="F29" s="67" t="str">
        <f>+F28</f>
        <v>361043K-404-PC</v>
      </c>
      <c r="G29" s="67" t="str">
        <f>+G28</f>
        <v>404 BANK BLUE</v>
      </c>
      <c r="H29" s="30">
        <f>+H28</f>
        <v>4500457758</v>
      </c>
      <c r="I29" s="70">
        <f>+I17*$D$17</f>
        <v>0</v>
      </c>
      <c r="J29" s="70">
        <f t="shared" ref="J29:O29" si="11">+J17*$D$17</f>
        <v>54</v>
      </c>
      <c r="K29" s="70">
        <f t="shared" si="11"/>
        <v>0</v>
      </c>
      <c r="L29" s="70">
        <f t="shared" si="11"/>
        <v>0</v>
      </c>
      <c r="M29" s="70">
        <f t="shared" si="11"/>
        <v>0</v>
      </c>
      <c r="N29" s="70">
        <f t="shared" si="11"/>
        <v>0</v>
      </c>
      <c r="O29" s="70">
        <f t="shared" si="11"/>
        <v>0</v>
      </c>
      <c r="P29" s="70" t="e">
        <f>+#REF!</f>
        <v>#REF!</v>
      </c>
      <c r="Q29" s="70" t="e">
        <f>+#REF!</f>
        <v>#REF!</v>
      </c>
      <c r="R29" s="70" t="e">
        <f>+#REF!</f>
        <v>#REF!</v>
      </c>
      <c r="S29" s="71">
        <f t="shared" si="10"/>
        <v>54</v>
      </c>
      <c r="T29" s="62"/>
      <c r="U29" s="62"/>
      <c r="V29" s="62"/>
      <c r="W29" s="62"/>
      <c r="X29" s="62"/>
      <c r="Y29" s="61"/>
      <c r="Z29" s="61"/>
      <c r="AD29" s="61"/>
      <c r="AE29" s="12"/>
      <c r="AF29" s="12"/>
    </row>
    <row r="30" spans="1:35" s="64" customFormat="1" ht="23.25" customHeight="1">
      <c r="B30" s="65"/>
      <c r="C30" s="65"/>
      <c r="D30" s="65"/>
      <c r="E30" s="65"/>
      <c r="F30" s="67" t="str">
        <f>+F18</f>
        <v>361043K-404-PC</v>
      </c>
      <c r="G30" s="67" t="str">
        <f>G34</f>
        <v>404 BANK BLUE</v>
      </c>
      <c r="H30" s="30">
        <f>+H18</f>
        <v>4500457758</v>
      </c>
      <c r="I30" s="70">
        <f>+I18*$D$18</f>
        <v>0</v>
      </c>
      <c r="J30" s="70">
        <f t="shared" ref="J30:O30" si="12">+J18*$D$18</f>
        <v>0</v>
      </c>
      <c r="K30" s="70">
        <f t="shared" si="12"/>
        <v>42</v>
      </c>
      <c r="L30" s="70">
        <f t="shared" si="12"/>
        <v>0</v>
      </c>
      <c r="M30" s="70">
        <f t="shared" si="12"/>
        <v>0</v>
      </c>
      <c r="N30" s="70">
        <f t="shared" si="12"/>
        <v>0</v>
      </c>
      <c r="O30" s="70">
        <f t="shared" si="12"/>
        <v>0</v>
      </c>
      <c r="P30" s="70" t="e">
        <f>+#REF!</f>
        <v>#REF!</v>
      </c>
      <c r="Q30" s="70" t="e">
        <f>+#REF!</f>
        <v>#REF!</v>
      </c>
      <c r="R30" s="70" t="e">
        <f>+#REF!</f>
        <v>#REF!</v>
      </c>
      <c r="S30" s="71">
        <f t="shared" si="10"/>
        <v>42</v>
      </c>
      <c r="T30" s="62"/>
      <c r="U30" s="62"/>
      <c r="V30" s="62"/>
      <c r="W30" s="62"/>
      <c r="X30" s="62"/>
      <c r="Y30" s="61"/>
      <c r="Z30" s="61"/>
      <c r="AD30" s="12"/>
      <c r="AE30" s="12"/>
    </row>
    <row r="31" spans="1:35" s="64" customFormat="1" ht="23.25" customHeight="1">
      <c r="B31" s="65"/>
      <c r="C31" s="65"/>
      <c r="D31" s="65"/>
      <c r="E31" s="65"/>
      <c r="F31" s="67" t="str">
        <f>+F30</f>
        <v>361043K-404-PC</v>
      </c>
      <c r="G31" s="67" t="str">
        <f t="shared" ref="G31:H31" si="13">+G30</f>
        <v>404 BANK BLUE</v>
      </c>
      <c r="H31" s="30">
        <f t="shared" si="13"/>
        <v>4500457758</v>
      </c>
      <c r="I31" s="70">
        <f>+I19*$D$19</f>
        <v>0</v>
      </c>
      <c r="J31" s="70">
        <f t="shared" ref="J31:O31" si="14">+J19*$D$19</f>
        <v>0</v>
      </c>
      <c r="K31" s="70">
        <f t="shared" si="14"/>
        <v>0</v>
      </c>
      <c r="L31" s="70">
        <f t="shared" si="14"/>
        <v>66</v>
      </c>
      <c r="M31" s="70">
        <f t="shared" si="14"/>
        <v>0</v>
      </c>
      <c r="N31" s="70">
        <f t="shared" si="14"/>
        <v>0</v>
      </c>
      <c r="O31" s="70">
        <f t="shared" si="14"/>
        <v>0</v>
      </c>
      <c r="P31" s="70" t="e">
        <f>+#REF!</f>
        <v>#REF!</v>
      </c>
      <c r="Q31" s="70" t="e">
        <f>+#REF!</f>
        <v>#REF!</v>
      </c>
      <c r="R31" s="70" t="e">
        <f>+#REF!</f>
        <v>#REF!</v>
      </c>
      <c r="S31" s="71">
        <f t="shared" si="10"/>
        <v>66</v>
      </c>
      <c r="T31" s="62"/>
      <c r="U31" s="62"/>
      <c r="V31" s="62"/>
      <c r="W31" s="62"/>
      <c r="X31" s="62"/>
      <c r="Y31" s="61"/>
      <c r="Z31" s="61"/>
      <c r="AD31" s="61"/>
      <c r="AE31" s="12"/>
      <c r="AF31" s="12"/>
    </row>
    <row r="32" spans="1:35" s="64" customFormat="1" ht="23.25" customHeight="1">
      <c r="B32" s="65"/>
      <c r="C32" s="65"/>
      <c r="D32" s="65"/>
      <c r="E32" s="65"/>
      <c r="F32" s="67" t="str">
        <f>+F28</f>
        <v>361043K-404-PC</v>
      </c>
      <c r="G32" s="67" t="str">
        <f t="shared" ref="G32:H32" si="15">+G28</f>
        <v>404 BANK BLUE</v>
      </c>
      <c r="H32" s="30">
        <f t="shared" si="15"/>
        <v>4500457758</v>
      </c>
      <c r="I32" s="70">
        <f>+I20*$D$20</f>
        <v>0</v>
      </c>
      <c r="J32" s="70">
        <f t="shared" ref="J32:O32" si="16">+J20*$D$20</f>
        <v>0</v>
      </c>
      <c r="K32" s="70">
        <f t="shared" si="16"/>
        <v>0</v>
      </c>
      <c r="L32" s="70">
        <f t="shared" si="16"/>
        <v>0</v>
      </c>
      <c r="M32" s="70">
        <f t="shared" si="16"/>
        <v>90</v>
      </c>
      <c r="N32" s="70">
        <f t="shared" si="16"/>
        <v>0</v>
      </c>
      <c r="O32" s="70">
        <f t="shared" si="16"/>
        <v>0</v>
      </c>
      <c r="P32" s="70" t="e">
        <f>+#REF!</f>
        <v>#REF!</v>
      </c>
      <c r="Q32" s="70" t="e">
        <f>+#REF!</f>
        <v>#REF!</v>
      </c>
      <c r="R32" s="70" t="e">
        <f>+#REF!</f>
        <v>#REF!</v>
      </c>
      <c r="S32" s="71">
        <f t="shared" si="10"/>
        <v>90</v>
      </c>
      <c r="T32" s="62"/>
      <c r="U32" s="62"/>
      <c r="V32" s="62"/>
      <c r="W32" s="62"/>
      <c r="X32" s="62"/>
      <c r="Y32" s="61"/>
      <c r="Z32" s="61"/>
      <c r="AD32" s="61"/>
      <c r="AE32" s="12"/>
      <c r="AF32" s="12"/>
    </row>
    <row r="33" spans="1:32" s="64" customFormat="1" ht="23.25" customHeight="1">
      <c r="B33" s="65"/>
      <c r="C33" s="65"/>
      <c r="D33" s="65"/>
      <c r="E33" s="65"/>
      <c r="F33" s="67" t="str">
        <f>+F21</f>
        <v>361043K-404-PC</v>
      </c>
      <c r="G33" s="67" t="str">
        <f>+G21</f>
        <v>404 BANK BLUE</v>
      </c>
      <c r="H33" s="30">
        <f>+H21</f>
        <v>4500457758</v>
      </c>
      <c r="I33" s="70">
        <f>+I21*$D$21</f>
        <v>0</v>
      </c>
      <c r="J33" s="70">
        <f t="shared" ref="J33:O33" si="17">+J21*$D$21</f>
        <v>0</v>
      </c>
      <c r="K33" s="70">
        <f t="shared" si="17"/>
        <v>0</v>
      </c>
      <c r="L33" s="70">
        <f t="shared" si="17"/>
        <v>0</v>
      </c>
      <c r="M33" s="70">
        <f t="shared" si="17"/>
        <v>0</v>
      </c>
      <c r="N33" s="70">
        <f t="shared" si="17"/>
        <v>72</v>
      </c>
      <c r="O33" s="70">
        <f t="shared" si="17"/>
        <v>0</v>
      </c>
      <c r="P33" s="70" t="e">
        <f>+#REF!</f>
        <v>#REF!</v>
      </c>
      <c r="Q33" s="70" t="e">
        <f>+#REF!</f>
        <v>#REF!</v>
      </c>
      <c r="R33" s="70" t="e">
        <f>+#REF!</f>
        <v>#REF!</v>
      </c>
      <c r="S33" s="71">
        <f t="shared" si="10"/>
        <v>72</v>
      </c>
      <c r="T33" s="62"/>
      <c r="U33" s="62"/>
      <c r="V33" s="62"/>
      <c r="W33" s="62"/>
      <c r="X33" s="62"/>
      <c r="Y33" s="61"/>
      <c r="Z33" s="61"/>
      <c r="AD33" s="12"/>
      <c r="AE33" s="12"/>
    </row>
    <row r="34" spans="1:32" s="64" customFormat="1" ht="23.25" customHeight="1">
      <c r="B34" s="65"/>
      <c r="C34" s="65"/>
      <c r="D34" s="65"/>
      <c r="E34" s="65"/>
      <c r="F34" s="67" t="str">
        <f>+F33</f>
        <v>361043K-404-PC</v>
      </c>
      <c r="G34" s="67" t="str">
        <f t="shared" ref="G34:H34" si="18">+G33</f>
        <v>404 BANK BLUE</v>
      </c>
      <c r="H34" s="30">
        <f t="shared" si="18"/>
        <v>4500457758</v>
      </c>
      <c r="I34" s="70">
        <f>+I22*$D$22</f>
        <v>0</v>
      </c>
      <c r="J34" s="70">
        <f t="shared" ref="J34:O34" si="19">+J22*$D$22</f>
        <v>0</v>
      </c>
      <c r="K34" s="70">
        <f t="shared" si="19"/>
        <v>0</v>
      </c>
      <c r="L34" s="70">
        <f t="shared" si="19"/>
        <v>0</v>
      </c>
      <c r="M34" s="70">
        <f t="shared" si="19"/>
        <v>0</v>
      </c>
      <c r="N34" s="70">
        <f t="shared" si="19"/>
        <v>0</v>
      </c>
      <c r="O34" s="70">
        <f t="shared" si="19"/>
        <v>66</v>
      </c>
      <c r="P34" s="70" t="e">
        <f>+#REF!</f>
        <v>#REF!</v>
      </c>
      <c r="Q34" s="70" t="e">
        <f>+#REF!</f>
        <v>#REF!</v>
      </c>
      <c r="R34" s="70" t="e">
        <f>+#REF!</f>
        <v>#REF!</v>
      </c>
      <c r="S34" s="71">
        <f t="shared" si="10"/>
        <v>66</v>
      </c>
      <c r="T34" s="62"/>
      <c r="U34" s="62"/>
      <c r="V34" s="62"/>
      <c r="W34" s="62"/>
      <c r="X34" s="62"/>
      <c r="Y34" s="61"/>
      <c r="Z34" s="61"/>
      <c r="AD34" s="61"/>
      <c r="AE34" s="12"/>
      <c r="AF34" s="12"/>
    </row>
    <row r="35" spans="1:32" s="64" customFormat="1" ht="19.5" customHeight="1">
      <c r="A35" s="62"/>
      <c r="B35" s="62"/>
      <c r="C35" s="62"/>
      <c r="D35" s="62"/>
      <c r="E35" s="62"/>
      <c r="F35" s="62"/>
      <c r="G35" s="332" t="s">
        <v>33</v>
      </c>
      <c r="H35" s="333"/>
      <c r="I35" s="71">
        <f>SUM(I28:I34)</f>
        <v>18</v>
      </c>
      <c r="J35" s="71">
        <f t="shared" ref="J35:O35" si="20">SUM(J28:J34)</f>
        <v>54</v>
      </c>
      <c r="K35" s="71">
        <f t="shared" si="20"/>
        <v>42</v>
      </c>
      <c r="L35" s="71">
        <f t="shared" si="20"/>
        <v>66</v>
      </c>
      <c r="M35" s="71">
        <f t="shared" si="20"/>
        <v>90</v>
      </c>
      <c r="N35" s="71">
        <f t="shared" si="20"/>
        <v>72</v>
      </c>
      <c r="O35" s="71">
        <f t="shared" si="20"/>
        <v>66</v>
      </c>
      <c r="P35" s="71" t="e">
        <f t="shared" ref="P35:R35" si="21">SUM(P33:P33)</f>
        <v>#REF!</v>
      </c>
      <c r="Q35" s="71" t="e">
        <f t="shared" si="21"/>
        <v>#REF!</v>
      </c>
      <c r="R35" s="71" t="e">
        <f t="shared" si="21"/>
        <v>#REF!</v>
      </c>
      <c r="S35" s="71">
        <f>SUM(S28:S34)</f>
        <v>408</v>
      </c>
      <c r="T35" s="62"/>
      <c r="U35" s="63"/>
      <c r="V35" s="62"/>
      <c r="W35" s="62"/>
      <c r="X35" s="62"/>
      <c r="Y35" s="61"/>
      <c r="Z35" s="61"/>
    </row>
    <row r="36" spans="1:32">
      <c r="X36" s="74"/>
    </row>
    <row r="37" spans="1:32">
      <c r="K37" s="74" t="s">
        <v>0</v>
      </c>
    </row>
    <row r="39" spans="1:32">
      <c r="T39" s="75"/>
      <c r="U39" s="76"/>
      <c r="V39" s="76"/>
      <c r="W39" s="76"/>
    </row>
    <row r="40" spans="1:32">
      <c r="T40" s="76"/>
      <c r="U40" s="76"/>
      <c r="V40" s="76"/>
      <c r="W40" s="76"/>
    </row>
    <row r="41" spans="1:32">
      <c r="T41" s="76"/>
      <c r="U41" s="76"/>
      <c r="V41" s="76"/>
      <c r="W41" s="76"/>
    </row>
    <row r="42" spans="1:32">
      <c r="G42" s="77"/>
      <c r="T42" s="76"/>
      <c r="U42" s="76"/>
      <c r="V42" s="76"/>
      <c r="W42" s="76"/>
    </row>
    <row r="43" spans="1:32">
      <c r="G43" s="78"/>
      <c r="T43" s="76"/>
      <c r="U43" s="76"/>
      <c r="V43" s="76"/>
      <c r="W43" s="76"/>
    </row>
    <row r="44" spans="1:32">
      <c r="G44" s="77"/>
      <c r="H44" s="77"/>
      <c r="U44" s="76"/>
      <c r="V44" s="76"/>
      <c r="W44" s="76"/>
    </row>
  </sheetData>
  <autoFilter ref="A15:DK23">
    <filterColumn colId="0" showButton="0"/>
    <filterColumn colId="1" showButton="0"/>
  </autoFilter>
  <mergeCells count="44">
    <mergeCell ref="G35:H35"/>
    <mergeCell ref="K26:K27"/>
    <mergeCell ref="L26:L27"/>
    <mergeCell ref="M26:M27"/>
    <mergeCell ref="N26:N27"/>
    <mergeCell ref="J26:J27"/>
    <mergeCell ref="F26:F27"/>
    <mergeCell ref="G26:G27"/>
    <mergeCell ref="H26:H27"/>
    <mergeCell ref="I26:I27"/>
    <mergeCell ref="S26:S27"/>
    <mergeCell ref="O26:O27"/>
    <mergeCell ref="P26:R26"/>
    <mergeCell ref="N14:N15"/>
    <mergeCell ref="O14:O15"/>
    <mergeCell ref="P14:P15"/>
    <mergeCell ref="Z13:Z15"/>
    <mergeCell ref="A23:C23"/>
    <mergeCell ref="I14:I15"/>
    <mergeCell ref="J14:J15"/>
    <mergeCell ref="K14:K15"/>
    <mergeCell ref="L14:L15"/>
    <mergeCell ref="M14:M15"/>
    <mergeCell ref="Y13:Y15"/>
    <mergeCell ref="Q14:Q15"/>
    <mergeCell ref="R14:R15"/>
    <mergeCell ref="S13:S15"/>
    <mergeCell ref="T13:T15"/>
    <mergeCell ref="AA13:AC14"/>
    <mergeCell ref="AD13:AD15"/>
    <mergeCell ref="G13:G15"/>
    <mergeCell ref="A1:AC1"/>
    <mergeCell ref="A2:AC2"/>
    <mergeCell ref="A3:AC3"/>
    <mergeCell ref="A4:AC4"/>
    <mergeCell ref="A6:AC6"/>
    <mergeCell ref="D10:G10"/>
    <mergeCell ref="C12:D12"/>
    <mergeCell ref="A13:C15"/>
    <mergeCell ref="D13:D15"/>
    <mergeCell ref="E13:E15"/>
    <mergeCell ref="F13:F15"/>
    <mergeCell ref="H13:H15"/>
    <mergeCell ref="I13:R13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44"/>
  <sheetViews>
    <sheetView view="pageBreakPreview" zoomScale="73" zoomScaleNormal="85" zoomScaleSheetLayoutView="73" workbookViewId="0">
      <pane xSplit="8" ySplit="15" topLeftCell="I16" activePane="bottomRight" state="frozen"/>
      <selection pane="topRight" activeCell="H1" sqref="H1"/>
      <selection pane="bottomLeft" activeCell="A13" sqref="A13"/>
      <selection pane="bottomRight" activeCell="AC27" sqref="AC27"/>
    </sheetView>
  </sheetViews>
  <sheetFormatPr defaultRowHeight="16.5"/>
  <cols>
    <col min="1" max="1" width="5.7109375" style="73" customWidth="1"/>
    <col min="2" max="2" width="2.140625" style="73" customWidth="1"/>
    <col min="3" max="3" width="5.5703125" style="73" customWidth="1"/>
    <col min="4" max="4" width="14.28515625" style="73" customWidth="1"/>
    <col min="5" max="5" width="31.140625" style="73" customWidth="1"/>
    <col min="6" max="6" width="25.28515625" style="73" customWidth="1"/>
    <col min="7" max="7" width="17.140625" style="73" customWidth="1"/>
    <col min="8" max="8" width="12.85546875" style="73" customWidth="1"/>
    <col min="9" max="10" width="8.28515625" style="73" customWidth="1"/>
    <col min="11" max="12" width="8.42578125" style="73" customWidth="1"/>
    <col min="13" max="15" width="8.28515625" style="73" customWidth="1"/>
    <col min="16" max="16" width="8.28515625" style="73" hidden="1" customWidth="1"/>
    <col min="17" max="17" width="8.5703125" style="73" hidden="1" customWidth="1"/>
    <col min="18" max="18" width="9.140625" style="73" hidden="1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10.7109375" style="73" customWidth="1"/>
    <col min="24" max="24" width="12" style="73" customWidth="1"/>
    <col min="25" max="25" width="8.85546875" style="73" customWidth="1"/>
    <col min="26" max="27" width="11.28515625" style="73" customWidth="1"/>
    <col min="28" max="28" width="9.140625" style="73" customWidth="1"/>
    <col min="29" max="29" width="22.7109375" style="73" customWidth="1"/>
    <col min="30" max="30" width="15.5703125" style="73" customWidth="1"/>
    <col min="31" max="257" width="9.140625" style="73"/>
    <col min="258" max="258" width="6.85546875" style="73" customWidth="1"/>
    <col min="259" max="259" width="2.140625" style="73" customWidth="1"/>
    <col min="260" max="260" width="6.140625" style="73" customWidth="1"/>
    <col min="261" max="261" width="8.85546875" style="73" customWidth="1"/>
    <col min="262" max="262" width="28.42578125" style="73" customWidth="1"/>
    <col min="263" max="263" width="13.85546875" style="73" customWidth="1"/>
    <col min="264" max="264" width="8.42578125" style="73" customWidth="1"/>
    <col min="265" max="268" width="0" style="73" hidden="1" customWidth="1"/>
    <col min="269" max="269" width="5.28515625" style="73" customWidth="1"/>
    <col min="270" max="270" width="5.5703125" style="73" customWidth="1"/>
    <col min="271" max="271" width="6" style="73" customWidth="1"/>
    <col min="272" max="272" width="5.5703125" style="73" customWidth="1"/>
    <col min="273" max="274" width="5.7109375" style="73" customWidth="1"/>
    <col min="275" max="275" width="9.85546875" style="73" customWidth="1"/>
    <col min="276" max="276" width="9.7109375" style="73" customWidth="1"/>
    <col min="277" max="277" width="8.85546875" style="73" customWidth="1"/>
    <col min="278" max="278" width="10" style="73" customWidth="1"/>
    <col min="279" max="279" width="8.28515625" style="73" customWidth="1"/>
    <col min="280" max="280" width="9.5703125" style="73" customWidth="1"/>
    <col min="281" max="281" width="15.5703125" style="73" customWidth="1"/>
    <col min="282" max="513" width="9.140625" style="73"/>
    <col min="514" max="514" width="6.85546875" style="73" customWidth="1"/>
    <col min="515" max="515" width="2.140625" style="73" customWidth="1"/>
    <col min="516" max="516" width="6.140625" style="73" customWidth="1"/>
    <col min="517" max="517" width="8.85546875" style="73" customWidth="1"/>
    <col min="518" max="518" width="28.42578125" style="73" customWidth="1"/>
    <col min="519" max="519" width="13.85546875" style="73" customWidth="1"/>
    <col min="520" max="520" width="8.42578125" style="73" customWidth="1"/>
    <col min="521" max="524" width="0" style="73" hidden="1" customWidth="1"/>
    <col min="525" max="525" width="5.28515625" style="73" customWidth="1"/>
    <col min="526" max="526" width="5.5703125" style="73" customWidth="1"/>
    <col min="527" max="527" width="6" style="73" customWidth="1"/>
    <col min="528" max="528" width="5.5703125" style="73" customWidth="1"/>
    <col min="529" max="530" width="5.7109375" style="73" customWidth="1"/>
    <col min="531" max="531" width="9.85546875" style="73" customWidth="1"/>
    <col min="532" max="532" width="9.7109375" style="73" customWidth="1"/>
    <col min="533" max="533" width="8.85546875" style="73" customWidth="1"/>
    <col min="534" max="534" width="10" style="73" customWidth="1"/>
    <col min="535" max="535" width="8.28515625" style="73" customWidth="1"/>
    <col min="536" max="536" width="9.5703125" style="73" customWidth="1"/>
    <col min="537" max="537" width="15.5703125" style="73" customWidth="1"/>
    <col min="538" max="769" width="9.140625" style="73"/>
    <col min="770" max="770" width="6.85546875" style="73" customWidth="1"/>
    <col min="771" max="771" width="2.140625" style="73" customWidth="1"/>
    <col min="772" max="772" width="6.140625" style="73" customWidth="1"/>
    <col min="773" max="773" width="8.85546875" style="73" customWidth="1"/>
    <col min="774" max="774" width="28.42578125" style="73" customWidth="1"/>
    <col min="775" max="775" width="13.85546875" style="73" customWidth="1"/>
    <col min="776" max="776" width="8.42578125" style="73" customWidth="1"/>
    <col min="777" max="780" width="0" style="73" hidden="1" customWidth="1"/>
    <col min="781" max="781" width="5.28515625" style="73" customWidth="1"/>
    <col min="782" max="782" width="5.5703125" style="73" customWidth="1"/>
    <col min="783" max="783" width="6" style="73" customWidth="1"/>
    <col min="784" max="784" width="5.5703125" style="73" customWidth="1"/>
    <col min="785" max="786" width="5.7109375" style="73" customWidth="1"/>
    <col min="787" max="787" width="9.85546875" style="73" customWidth="1"/>
    <col min="788" max="788" width="9.7109375" style="73" customWidth="1"/>
    <col min="789" max="789" width="8.85546875" style="73" customWidth="1"/>
    <col min="790" max="790" width="10" style="73" customWidth="1"/>
    <col min="791" max="791" width="8.28515625" style="73" customWidth="1"/>
    <col min="792" max="792" width="9.5703125" style="73" customWidth="1"/>
    <col min="793" max="793" width="15.5703125" style="73" customWidth="1"/>
    <col min="794" max="1025" width="9.140625" style="73"/>
    <col min="1026" max="1026" width="6.85546875" style="73" customWidth="1"/>
    <col min="1027" max="1027" width="2.140625" style="73" customWidth="1"/>
    <col min="1028" max="1028" width="6.140625" style="73" customWidth="1"/>
    <col min="1029" max="1029" width="8.85546875" style="73" customWidth="1"/>
    <col min="1030" max="1030" width="28.42578125" style="73" customWidth="1"/>
    <col min="1031" max="1031" width="13.85546875" style="73" customWidth="1"/>
    <col min="1032" max="1032" width="8.42578125" style="73" customWidth="1"/>
    <col min="1033" max="1036" width="0" style="73" hidden="1" customWidth="1"/>
    <col min="1037" max="1037" width="5.28515625" style="73" customWidth="1"/>
    <col min="1038" max="1038" width="5.5703125" style="73" customWidth="1"/>
    <col min="1039" max="1039" width="6" style="73" customWidth="1"/>
    <col min="1040" max="1040" width="5.5703125" style="73" customWidth="1"/>
    <col min="1041" max="1042" width="5.7109375" style="73" customWidth="1"/>
    <col min="1043" max="1043" width="9.85546875" style="73" customWidth="1"/>
    <col min="1044" max="1044" width="9.7109375" style="73" customWidth="1"/>
    <col min="1045" max="1045" width="8.85546875" style="73" customWidth="1"/>
    <col min="1046" max="1046" width="10" style="73" customWidth="1"/>
    <col min="1047" max="1047" width="8.28515625" style="73" customWidth="1"/>
    <col min="1048" max="1048" width="9.5703125" style="73" customWidth="1"/>
    <col min="1049" max="1049" width="15.5703125" style="73" customWidth="1"/>
    <col min="1050" max="1281" width="9.140625" style="73"/>
    <col min="1282" max="1282" width="6.85546875" style="73" customWidth="1"/>
    <col min="1283" max="1283" width="2.140625" style="73" customWidth="1"/>
    <col min="1284" max="1284" width="6.140625" style="73" customWidth="1"/>
    <col min="1285" max="1285" width="8.85546875" style="73" customWidth="1"/>
    <col min="1286" max="1286" width="28.42578125" style="73" customWidth="1"/>
    <col min="1287" max="1287" width="13.85546875" style="73" customWidth="1"/>
    <col min="1288" max="1288" width="8.42578125" style="73" customWidth="1"/>
    <col min="1289" max="1292" width="0" style="73" hidden="1" customWidth="1"/>
    <col min="1293" max="1293" width="5.28515625" style="73" customWidth="1"/>
    <col min="1294" max="1294" width="5.5703125" style="73" customWidth="1"/>
    <col min="1295" max="1295" width="6" style="73" customWidth="1"/>
    <col min="1296" max="1296" width="5.5703125" style="73" customWidth="1"/>
    <col min="1297" max="1298" width="5.7109375" style="73" customWidth="1"/>
    <col min="1299" max="1299" width="9.85546875" style="73" customWidth="1"/>
    <col min="1300" max="1300" width="9.7109375" style="73" customWidth="1"/>
    <col min="1301" max="1301" width="8.85546875" style="73" customWidth="1"/>
    <col min="1302" max="1302" width="10" style="73" customWidth="1"/>
    <col min="1303" max="1303" width="8.28515625" style="73" customWidth="1"/>
    <col min="1304" max="1304" width="9.5703125" style="73" customWidth="1"/>
    <col min="1305" max="1305" width="15.5703125" style="73" customWidth="1"/>
    <col min="1306" max="1537" width="9.140625" style="73"/>
    <col min="1538" max="1538" width="6.85546875" style="73" customWidth="1"/>
    <col min="1539" max="1539" width="2.140625" style="73" customWidth="1"/>
    <col min="1540" max="1540" width="6.140625" style="73" customWidth="1"/>
    <col min="1541" max="1541" width="8.85546875" style="73" customWidth="1"/>
    <col min="1542" max="1542" width="28.42578125" style="73" customWidth="1"/>
    <col min="1543" max="1543" width="13.85546875" style="73" customWidth="1"/>
    <col min="1544" max="1544" width="8.42578125" style="73" customWidth="1"/>
    <col min="1545" max="1548" width="0" style="73" hidden="1" customWidth="1"/>
    <col min="1549" max="1549" width="5.28515625" style="73" customWidth="1"/>
    <col min="1550" max="1550" width="5.5703125" style="73" customWidth="1"/>
    <col min="1551" max="1551" width="6" style="73" customWidth="1"/>
    <col min="1552" max="1552" width="5.5703125" style="73" customWidth="1"/>
    <col min="1553" max="1554" width="5.7109375" style="73" customWidth="1"/>
    <col min="1555" max="1555" width="9.85546875" style="73" customWidth="1"/>
    <col min="1556" max="1556" width="9.7109375" style="73" customWidth="1"/>
    <col min="1557" max="1557" width="8.85546875" style="73" customWidth="1"/>
    <col min="1558" max="1558" width="10" style="73" customWidth="1"/>
    <col min="1559" max="1559" width="8.28515625" style="73" customWidth="1"/>
    <col min="1560" max="1560" width="9.5703125" style="73" customWidth="1"/>
    <col min="1561" max="1561" width="15.5703125" style="73" customWidth="1"/>
    <col min="1562" max="1793" width="9.140625" style="73"/>
    <col min="1794" max="1794" width="6.85546875" style="73" customWidth="1"/>
    <col min="1795" max="1795" width="2.140625" style="73" customWidth="1"/>
    <col min="1796" max="1796" width="6.140625" style="73" customWidth="1"/>
    <col min="1797" max="1797" width="8.85546875" style="73" customWidth="1"/>
    <col min="1798" max="1798" width="28.42578125" style="73" customWidth="1"/>
    <col min="1799" max="1799" width="13.85546875" style="73" customWidth="1"/>
    <col min="1800" max="1800" width="8.42578125" style="73" customWidth="1"/>
    <col min="1801" max="1804" width="0" style="73" hidden="1" customWidth="1"/>
    <col min="1805" max="1805" width="5.28515625" style="73" customWidth="1"/>
    <col min="1806" max="1806" width="5.5703125" style="73" customWidth="1"/>
    <col min="1807" max="1807" width="6" style="73" customWidth="1"/>
    <col min="1808" max="1808" width="5.5703125" style="73" customWidth="1"/>
    <col min="1809" max="1810" width="5.7109375" style="73" customWidth="1"/>
    <col min="1811" max="1811" width="9.85546875" style="73" customWidth="1"/>
    <col min="1812" max="1812" width="9.7109375" style="73" customWidth="1"/>
    <col min="1813" max="1813" width="8.85546875" style="73" customWidth="1"/>
    <col min="1814" max="1814" width="10" style="73" customWidth="1"/>
    <col min="1815" max="1815" width="8.28515625" style="73" customWidth="1"/>
    <col min="1816" max="1816" width="9.5703125" style="73" customWidth="1"/>
    <col min="1817" max="1817" width="15.5703125" style="73" customWidth="1"/>
    <col min="1818" max="2049" width="9.140625" style="73"/>
    <col min="2050" max="2050" width="6.85546875" style="73" customWidth="1"/>
    <col min="2051" max="2051" width="2.140625" style="73" customWidth="1"/>
    <col min="2052" max="2052" width="6.140625" style="73" customWidth="1"/>
    <col min="2053" max="2053" width="8.85546875" style="73" customWidth="1"/>
    <col min="2054" max="2054" width="28.42578125" style="73" customWidth="1"/>
    <col min="2055" max="2055" width="13.85546875" style="73" customWidth="1"/>
    <col min="2056" max="2056" width="8.42578125" style="73" customWidth="1"/>
    <col min="2057" max="2060" width="0" style="73" hidden="1" customWidth="1"/>
    <col min="2061" max="2061" width="5.28515625" style="73" customWidth="1"/>
    <col min="2062" max="2062" width="5.5703125" style="73" customWidth="1"/>
    <col min="2063" max="2063" width="6" style="73" customWidth="1"/>
    <col min="2064" max="2064" width="5.5703125" style="73" customWidth="1"/>
    <col min="2065" max="2066" width="5.7109375" style="73" customWidth="1"/>
    <col min="2067" max="2067" width="9.85546875" style="73" customWidth="1"/>
    <col min="2068" max="2068" width="9.7109375" style="73" customWidth="1"/>
    <col min="2069" max="2069" width="8.85546875" style="73" customWidth="1"/>
    <col min="2070" max="2070" width="10" style="73" customWidth="1"/>
    <col min="2071" max="2071" width="8.28515625" style="73" customWidth="1"/>
    <col min="2072" max="2072" width="9.5703125" style="73" customWidth="1"/>
    <col min="2073" max="2073" width="15.5703125" style="73" customWidth="1"/>
    <col min="2074" max="2305" width="9.140625" style="73"/>
    <col min="2306" max="2306" width="6.85546875" style="73" customWidth="1"/>
    <col min="2307" max="2307" width="2.140625" style="73" customWidth="1"/>
    <col min="2308" max="2308" width="6.140625" style="73" customWidth="1"/>
    <col min="2309" max="2309" width="8.85546875" style="73" customWidth="1"/>
    <col min="2310" max="2310" width="28.42578125" style="73" customWidth="1"/>
    <col min="2311" max="2311" width="13.85546875" style="73" customWidth="1"/>
    <col min="2312" max="2312" width="8.42578125" style="73" customWidth="1"/>
    <col min="2313" max="2316" width="0" style="73" hidden="1" customWidth="1"/>
    <col min="2317" max="2317" width="5.28515625" style="73" customWidth="1"/>
    <col min="2318" max="2318" width="5.5703125" style="73" customWidth="1"/>
    <col min="2319" max="2319" width="6" style="73" customWidth="1"/>
    <col min="2320" max="2320" width="5.5703125" style="73" customWidth="1"/>
    <col min="2321" max="2322" width="5.7109375" style="73" customWidth="1"/>
    <col min="2323" max="2323" width="9.85546875" style="73" customWidth="1"/>
    <col min="2324" max="2324" width="9.7109375" style="73" customWidth="1"/>
    <col min="2325" max="2325" width="8.85546875" style="73" customWidth="1"/>
    <col min="2326" max="2326" width="10" style="73" customWidth="1"/>
    <col min="2327" max="2327" width="8.28515625" style="73" customWidth="1"/>
    <col min="2328" max="2328" width="9.5703125" style="73" customWidth="1"/>
    <col min="2329" max="2329" width="15.5703125" style="73" customWidth="1"/>
    <col min="2330" max="2561" width="9.140625" style="73"/>
    <col min="2562" max="2562" width="6.85546875" style="73" customWidth="1"/>
    <col min="2563" max="2563" width="2.140625" style="73" customWidth="1"/>
    <col min="2564" max="2564" width="6.140625" style="73" customWidth="1"/>
    <col min="2565" max="2565" width="8.85546875" style="73" customWidth="1"/>
    <col min="2566" max="2566" width="28.42578125" style="73" customWidth="1"/>
    <col min="2567" max="2567" width="13.85546875" style="73" customWidth="1"/>
    <col min="2568" max="2568" width="8.42578125" style="73" customWidth="1"/>
    <col min="2569" max="2572" width="0" style="73" hidden="1" customWidth="1"/>
    <col min="2573" max="2573" width="5.28515625" style="73" customWidth="1"/>
    <col min="2574" max="2574" width="5.5703125" style="73" customWidth="1"/>
    <col min="2575" max="2575" width="6" style="73" customWidth="1"/>
    <col min="2576" max="2576" width="5.5703125" style="73" customWidth="1"/>
    <col min="2577" max="2578" width="5.7109375" style="73" customWidth="1"/>
    <col min="2579" max="2579" width="9.85546875" style="73" customWidth="1"/>
    <col min="2580" max="2580" width="9.7109375" style="73" customWidth="1"/>
    <col min="2581" max="2581" width="8.85546875" style="73" customWidth="1"/>
    <col min="2582" max="2582" width="10" style="73" customWidth="1"/>
    <col min="2583" max="2583" width="8.28515625" style="73" customWidth="1"/>
    <col min="2584" max="2584" width="9.5703125" style="73" customWidth="1"/>
    <col min="2585" max="2585" width="15.5703125" style="73" customWidth="1"/>
    <col min="2586" max="2817" width="9.140625" style="73"/>
    <col min="2818" max="2818" width="6.85546875" style="73" customWidth="1"/>
    <col min="2819" max="2819" width="2.140625" style="73" customWidth="1"/>
    <col min="2820" max="2820" width="6.140625" style="73" customWidth="1"/>
    <col min="2821" max="2821" width="8.85546875" style="73" customWidth="1"/>
    <col min="2822" max="2822" width="28.42578125" style="73" customWidth="1"/>
    <col min="2823" max="2823" width="13.85546875" style="73" customWidth="1"/>
    <col min="2824" max="2824" width="8.42578125" style="73" customWidth="1"/>
    <col min="2825" max="2828" width="0" style="73" hidden="1" customWidth="1"/>
    <col min="2829" max="2829" width="5.28515625" style="73" customWidth="1"/>
    <col min="2830" max="2830" width="5.5703125" style="73" customWidth="1"/>
    <col min="2831" max="2831" width="6" style="73" customWidth="1"/>
    <col min="2832" max="2832" width="5.5703125" style="73" customWidth="1"/>
    <col min="2833" max="2834" width="5.7109375" style="73" customWidth="1"/>
    <col min="2835" max="2835" width="9.85546875" style="73" customWidth="1"/>
    <col min="2836" max="2836" width="9.7109375" style="73" customWidth="1"/>
    <col min="2837" max="2837" width="8.85546875" style="73" customWidth="1"/>
    <col min="2838" max="2838" width="10" style="73" customWidth="1"/>
    <col min="2839" max="2839" width="8.28515625" style="73" customWidth="1"/>
    <col min="2840" max="2840" width="9.5703125" style="73" customWidth="1"/>
    <col min="2841" max="2841" width="15.5703125" style="73" customWidth="1"/>
    <col min="2842" max="3073" width="9.140625" style="73"/>
    <col min="3074" max="3074" width="6.85546875" style="73" customWidth="1"/>
    <col min="3075" max="3075" width="2.140625" style="73" customWidth="1"/>
    <col min="3076" max="3076" width="6.140625" style="73" customWidth="1"/>
    <col min="3077" max="3077" width="8.85546875" style="73" customWidth="1"/>
    <col min="3078" max="3078" width="28.42578125" style="73" customWidth="1"/>
    <col min="3079" max="3079" width="13.85546875" style="73" customWidth="1"/>
    <col min="3080" max="3080" width="8.42578125" style="73" customWidth="1"/>
    <col min="3081" max="3084" width="0" style="73" hidden="1" customWidth="1"/>
    <col min="3085" max="3085" width="5.28515625" style="73" customWidth="1"/>
    <col min="3086" max="3086" width="5.5703125" style="73" customWidth="1"/>
    <col min="3087" max="3087" width="6" style="73" customWidth="1"/>
    <col min="3088" max="3088" width="5.5703125" style="73" customWidth="1"/>
    <col min="3089" max="3090" width="5.7109375" style="73" customWidth="1"/>
    <col min="3091" max="3091" width="9.85546875" style="73" customWidth="1"/>
    <col min="3092" max="3092" width="9.7109375" style="73" customWidth="1"/>
    <col min="3093" max="3093" width="8.85546875" style="73" customWidth="1"/>
    <col min="3094" max="3094" width="10" style="73" customWidth="1"/>
    <col min="3095" max="3095" width="8.28515625" style="73" customWidth="1"/>
    <col min="3096" max="3096" width="9.5703125" style="73" customWidth="1"/>
    <col min="3097" max="3097" width="15.5703125" style="73" customWidth="1"/>
    <col min="3098" max="3329" width="9.140625" style="73"/>
    <col min="3330" max="3330" width="6.85546875" style="73" customWidth="1"/>
    <col min="3331" max="3331" width="2.140625" style="73" customWidth="1"/>
    <col min="3332" max="3332" width="6.140625" style="73" customWidth="1"/>
    <col min="3333" max="3333" width="8.85546875" style="73" customWidth="1"/>
    <col min="3334" max="3334" width="28.42578125" style="73" customWidth="1"/>
    <col min="3335" max="3335" width="13.85546875" style="73" customWidth="1"/>
    <col min="3336" max="3336" width="8.42578125" style="73" customWidth="1"/>
    <col min="3337" max="3340" width="0" style="73" hidden="1" customWidth="1"/>
    <col min="3341" max="3341" width="5.28515625" style="73" customWidth="1"/>
    <col min="3342" max="3342" width="5.5703125" style="73" customWidth="1"/>
    <col min="3343" max="3343" width="6" style="73" customWidth="1"/>
    <col min="3344" max="3344" width="5.5703125" style="73" customWidth="1"/>
    <col min="3345" max="3346" width="5.7109375" style="73" customWidth="1"/>
    <col min="3347" max="3347" width="9.85546875" style="73" customWidth="1"/>
    <col min="3348" max="3348" width="9.7109375" style="73" customWidth="1"/>
    <col min="3349" max="3349" width="8.85546875" style="73" customWidth="1"/>
    <col min="3350" max="3350" width="10" style="73" customWidth="1"/>
    <col min="3351" max="3351" width="8.28515625" style="73" customWidth="1"/>
    <col min="3352" max="3352" width="9.5703125" style="73" customWidth="1"/>
    <col min="3353" max="3353" width="15.5703125" style="73" customWidth="1"/>
    <col min="3354" max="3585" width="9.140625" style="73"/>
    <col min="3586" max="3586" width="6.85546875" style="73" customWidth="1"/>
    <col min="3587" max="3587" width="2.140625" style="73" customWidth="1"/>
    <col min="3588" max="3588" width="6.140625" style="73" customWidth="1"/>
    <col min="3589" max="3589" width="8.85546875" style="73" customWidth="1"/>
    <col min="3590" max="3590" width="28.42578125" style="73" customWidth="1"/>
    <col min="3591" max="3591" width="13.85546875" style="73" customWidth="1"/>
    <col min="3592" max="3592" width="8.42578125" style="73" customWidth="1"/>
    <col min="3593" max="3596" width="0" style="73" hidden="1" customWidth="1"/>
    <col min="3597" max="3597" width="5.28515625" style="73" customWidth="1"/>
    <col min="3598" max="3598" width="5.5703125" style="73" customWidth="1"/>
    <col min="3599" max="3599" width="6" style="73" customWidth="1"/>
    <col min="3600" max="3600" width="5.5703125" style="73" customWidth="1"/>
    <col min="3601" max="3602" width="5.7109375" style="73" customWidth="1"/>
    <col min="3603" max="3603" width="9.85546875" style="73" customWidth="1"/>
    <col min="3604" max="3604" width="9.7109375" style="73" customWidth="1"/>
    <col min="3605" max="3605" width="8.85546875" style="73" customWidth="1"/>
    <col min="3606" max="3606" width="10" style="73" customWidth="1"/>
    <col min="3607" max="3607" width="8.28515625" style="73" customWidth="1"/>
    <col min="3608" max="3608" width="9.5703125" style="73" customWidth="1"/>
    <col min="3609" max="3609" width="15.5703125" style="73" customWidth="1"/>
    <col min="3610" max="3841" width="9.140625" style="73"/>
    <col min="3842" max="3842" width="6.85546875" style="73" customWidth="1"/>
    <col min="3843" max="3843" width="2.140625" style="73" customWidth="1"/>
    <col min="3844" max="3844" width="6.140625" style="73" customWidth="1"/>
    <col min="3845" max="3845" width="8.85546875" style="73" customWidth="1"/>
    <col min="3846" max="3846" width="28.42578125" style="73" customWidth="1"/>
    <col min="3847" max="3847" width="13.85546875" style="73" customWidth="1"/>
    <col min="3848" max="3848" width="8.42578125" style="73" customWidth="1"/>
    <col min="3849" max="3852" width="0" style="73" hidden="1" customWidth="1"/>
    <col min="3853" max="3853" width="5.28515625" style="73" customWidth="1"/>
    <col min="3854" max="3854" width="5.5703125" style="73" customWidth="1"/>
    <col min="3855" max="3855" width="6" style="73" customWidth="1"/>
    <col min="3856" max="3856" width="5.5703125" style="73" customWidth="1"/>
    <col min="3857" max="3858" width="5.7109375" style="73" customWidth="1"/>
    <col min="3859" max="3859" width="9.85546875" style="73" customWidth="1"/>
    <col min="3860" max="3860" width="9.7109375" style="73" customWidth="1"/>
    <col min="3861" max="3861" width="8.85546875" style="73" customWidth="1"/>
    <col min="3862" max="3862" width="10" style="73" customWidth="1"/>
    <col min="3863" max="3863" width="8.28515625" style="73" customWidth="1"/>
    <col min="3864" max="3864" width="9.5703125" style="73" customWidth="1"/>
    <col min="3865" max="3865" width="15.5703125" style="73" customWidth="1"/>
    <col min="3866" max="4097" width="9.140625" style="73"/>
    <col min="4098" max="4098" width="6.85546875" style="73" customWidth="1"/>
    <col min="4099" max="4099" width="2.140625" style="73" customWidth="1"/>
    <col min="4100" max="4100" width="6.140625" style="73" customWidth="1"/>
    <col min="4101" max="4101" width="8.85546875" style="73" customWidth="1"/>
    <col min="4102" max="4102" width="28.42578125" style="73" customWidth="1"/>
    <col min="4103" max="4103" width="13.85546875" style="73" customWidth="1"/>
    <col min="4104" max="4104" width="8.42578125" style="73" customWidth="1"/>
    <col min="4105" max="4108" width="0" style="73" hidden="1" customWidth="1"/>
    <col min="4109" max="4109" width="5.28515625" style="73" customWidth="1"/>
    <col min="4110" max="4110" width="5.5703125" style="73" customWidth="1"/>
    <col min="4111" max="4111" width="6" style="73" customWidth="1"/>
    <col min="4112" max="4112" width="5.5703125" style="73" customWidth="1"/>
    <col min="4113" max="4114" width="5.7109375" style="73" customWidth="1"/>
    <col min="4115" max="4115" width="9.85546875" style="73" customWidth="1"/>
    <col min="4116" max="4116" width="9.7109375" style="73" customWidth="1"/>
    <col min="4117" max="4117" width="8.85546875" style="73" customWidth="1"/>
    <col min="4118" max="4118" width="10" style="73" customWidth="1"/>
    <col min="4119" max="4119" width="8.28515625" style="73" customWidth="1"/>
    <col min="4120" max="4120" width="9.5703125" style="73" customWidth="1"/>
    <col min="4121" max="4121" width="15.5703125" style="73" customWidth="1"/>
    <col min="4122" max="4353" width="9.140625" style="73"/>
    <col min="4354" max="4354" width="6.85546875" style="73" customWidth="1"/>
    <col min="4355" max="4355" width="2.140625" style="73" customWidth="1"/>
    <col min="4356" max="4356" width="6.140625" style="73" customWidth="1"/>
    <col min="4357" max="4357" width="8.85546875" style="73" customWidth="1"/>
    <col min="4358" max="4358" width="28.42578125" style="73" customWidth="1"/>
    <col min="4359" max="4359" width="13.85546875" style="73" customWidth="1"/>
    <col min="4360" max="4360" width="8.42578125" style="73" customWidth="1"/>
    <col min="4361" max="4364" width="0" style="73" hidden="1" customWidth="1"/>
    <col min="4365" max="4365" width="5.28515625" style="73" customWidth="1"/>
    <col min="4366" max="4366" width="5.5703125" style="73" customWidth="1"/>
    <col min="4367" max="4367" width="6" style="73" customWidth="1"/>
    <col min="4368" max="4368" width="5.5703125" style="73" customWidth="1"/>
    <col min="4369" max="4370" width="5.7109375" style="73" customWidth="1"/>
    <col min="4371" max="4371" width="9.85546875" style="73" customWidth="1"/>
    <col min="4372" max="4372" width="9.7109375" style="73" customWidth="1"/>
    <col min="4373" max="4373" width="8.85546875" style="73" customWidth="1"/>
    <col min="4374" max="4374" width="10" style="73" customWidth="1"/>
    <col min="4375" max="4375" width="8.28515625" style="73" customWidth="1"/>
    <col min="4376" max="4376" width="9.5703125" style="73" customWidth="1"/>
    <col min="4377" max="4377" width="15.5703125" style="73" customWidth="1"/>
    <col min="4378" max="4609" width="9.140625" style="73"/>
    <col min="4610" max="4610" width="6.85546875" style="73" customWidth="1"/>
    <col min="4611" max="4611" width="2.140625" style="73" customWidth="1"/>
    <col min="4612" max="4612" width="6.140625" style="73" customWidth="1"/>
    <col min="4613" max="4613" width="8.85546875" style="73" customWidth="1"/>
    <col min="4614" max="4614" width="28.42578125" style="73" customWidth="1"/>
    <col min="4615" max="4615" width="13.85546875" style="73" customWidth="1"/>
    <col min="4616" max="4616" width="8.42578125" style="73" customWidth="1"/>
    <col min="4617" max="4620" width="0" style="73" hidden="1" customWidth="1"/>
    <col min="4621" max="4621" width="5.28515625" style="73" customWidth="1"/>
    <col min="4622" max="4622" width="5.5703125" style="73" customWidth="1"/>
    <col min="4623" max="4623" width="6" style="73" customWidth="1"/>
    <col min="4624" max="4624" width="5.5703125" style="73" customWidth="1"/>
    <col min="4625" max="4626" width="5.7109375" style="73" customWidth="1"/>
    <col min="4627" max="4627" width="9.85546875" style="73" customWidth="1"/>
    <col min="4628" max="4628" width="9.7109375" style="73" customWidth="1"/>
    <col min="4629" max="4629" width="8.85546875" style="73" customWidth="1"/>
    <col min="4630" max="4630" width="10" style="73" customWidth="1"/>
    <col min="4631" max="4631" width="8.28515625" style="73" customWidth="1"/>
    <col min="4632" max="4632" width="9.5703125" style="73" customWidth="1"/>
    <col min="4633" max="4633" width="15.5703125" style="73" customWidth="1"/>
    <col min="4634" max="4865" width="9.140625" style="73"/>
    <col min="4866" max="4866" width="6.85546875" style="73" customWidth="1"/>
    <col min="4867" max="4867" width="2.140625" style="73" customWidth="1"/>
    <col min="4868" max="4868" width="6.140625" style="73" customWidth="1"/>
    <col min="4869" max="4869" width="8.85546875" style="73" customWidth="1"/>
    <col min="4870" max="4870" width="28.42578125" style="73" customWidth="1"/>
    <col min="4871" max="4871" width="13.85546875" style="73" customWidth="1"/>
    <col min="4872" max="4872" width="8.42578125" style="73" customWidth="1"/>
    <col min="4873" max="4876" width="0" style="73" hidden="1" customWidth="1"/>
    <col min="4877" max="4877" width="5.28515625" style="73" customWidth="1"/>
    <col min="4878" max="4878" width="5.5703125" style="73" customWidth="1"/>
    <col min="4879" max="4879" width="6" style="73" customWidth="1"/>
    <col min="4880" max="4880" width="5.5703125" style="73" customWidth="1"/>
    <col min="4881" max="4882" width="5.7109375" style="73" customWidth="1"/>
    <col min="4883" max="4883" width="9.85546875" style="73" customWidth="1"/>
    <col min="4884" max="4884" width="9.7109375" style="73" customWidth="1"/>
    <col min="4885" max="4885" width="8.85546875" style="73" customWidth="1"/>
    <col min="4886" max="4886" width="10" style="73" customWidth="1"/>
    <col min="4887" max="4887" width="8.28515625" style="73" customWidth="1"/>
    <col min="4888" max="4888" width="9.5703125" style="73" customWidth="1"/>
    <col min="4889" max="4889" width="15.5703125" style="73" customWidth="1"/>
    <col min="4890" max="5121" width="9.140625" style="73"/>
    <col min="5122" max="5122" width="6.85546875" style="73" customWidth="1"/>
    <col min="5123" max="5123" width="2.140625" style="73" customWidth="1"/>
    <col min="5124" max="5124" width="6.140625" style="73" customWidth="1"/>
    <col min="5125" max="5125" width="8.85546875" style="73" customWidth="1"/>
    <col min="5126" max="5126" width="28.42578125" style="73" customWidth="1"/>
    <col min="5127" max="5127" width="13.85546875" style="73" customWidth="1"/>
    <col min="5128" max="5128" width="8.42578125" style="73" customWidth="1"/>
    <col min="5129" max="5132" width="0" style="73" hidden="1" customWidth="1"/>
    <col min="5133" max="5133" width="5.28515625" style="73" customWidth="1"/>
    <col min="5134" max="5134" width="5.5703125" style="73" customWidth="1"/>
    <col min="5135" max="5135" width="6" style="73" customWidth="1"/>
    <col min="5136" max="5136" width="5.5703125" style="73" customWidth="1"/>
    <col min="5137" max="5138" width="5.7109375" style="73" customWidth="1"/>
    <col min="5139" max="5139" width="9.85546875" style="73" customWidth="1"/>
    <col min="5140" max="5140" width="9.7109375" style="73" customWidth="1"/>
    <col min="5141" max="5141" width="8.85546875" style="73" customWidth="1"/>
    <col min="5142" max="5142" width="10" style="73" customWidth="1"/>
    <col min="5143" max="5143" width="8.28515625" style="73" customWidth="1"/>
    <col min="5144" max="5144" width="9.5703125" style="73" customWidth="1"/>
    <col min="5145" max="5145" width="15.5703125" style="73" customWidth="1"/>
    <col min="5146" max="5377" width="9.140625" style="73"/>
    <col min="5378" max="5378" width="6.85546875" style="73" customWidth="1"/>
    <col min="5379" max="5379" width="2.140625" style="73" customWidth="1"/>
    <col min="5380" max="5380" width="6.140625" style="73" customWidth="1"/>
    <col min="5381" max="5381" width="8.85546875" style="73" customWidth="1"/>
    <col min="5382" max="5382" width="28.42578125" style="73" customWidth="1"/>
    <col min="5383" max="5383" width="13.85546875" style="73" customWidth="1"/>
    <col min="5384" max="5384" width="8.42578125" style="73" customWidth="1"/>
    <col min="5385" max="5388" width="0" style="73" hidden="1" customWidth="1"/>
    <col min="5389" max="5389" width="5.28515625" style="73" customWidth="1"/>
    <col min="5390" max="5390" width="5.5703125" style="73" customWidth="1"/>
    <col min="5391" max="5391" width="6" style="73" customWidth="1"/>
    <col min="5392" max="5392" width="5.5703125" style="73" customWidth="1"/>
    <col min="5393" max="5394" width="5.7109375" style="73" customWidth="1"/>
    <col min="5395" max="5395" width="9.85546875" style="73" customWidth="1"/>
    <col min="5396" max="5396" width="9.7109375" style="73" customWidth="1"/>
    <col min="5397" max="5397" width="8.85546875" style="73" customWidth="1"/>
    <col min="5398" max="5398" width="10" style="73" customWidth="1"/>
    <col min="5399" max="5399" width="8.28515625" style="73" customWidth="1"/>
    <col min="5400" max="5400" width="9.5703125" style="73" customWidth="1"/>
    <col min="5401" max="5401" width="15.5703125" style="73" customWidth="1"/>
    <col min="5402" max="5633" width="9.140625" style="73"/>
    <col min="5634" max="5634" width="6.85546875" style="73" customWidth="1"/>
    <col min="5635" max="5635" width="2.140625" style="73" customWidth="1"/>
    <col min="5636" max="5636" width="6.140625" style="73" customWidth="1"/>
    <col min="5637" max="5637" width="8.85546875" style="73" customWidth="1"/>
    <col min="5638" max="5638" width="28.42578125" style="73" customWidth="1"/>
    <col min="5639" max="5639" width="13.85546875" style="73" customWidth="1"/>
    <col min="5640" max="5640" width="8.42578125" style="73" customWidth="1"/>
    <col min="5641" max="5644" width="0" style="73" hidden="1" customWidth="1"/>
    <col min="5645" max="5645" width="5.28515625" style="73" customWidth="1"/>
    <col min="5646" max="5646" width="5.5703125" style="73" customWidth="1"/>
    <col min="5647" max="5647" width="6" style="73" customWidth="1"/>
    <col min="5648" max="5648" width="5.5703125" style="73" customWidth="1"/>
    <col min="5649" max="5650" width="5.7109375" style="73" customWidth="1"/>
    <col min="5651" max="5651" width="9.85546875" style="73" customWidth="1"/>
    <col min="5652" max="5652" width="9.7109375" style="73" customWidth="1"/>
    <col min="5653" max="5653" width="8.85546875" style="73" customWidth="1"/>
    <col min="5654" max="5654" width="10" style="73" customWidth="1"/>
    <col min="5655" max="5655" width="8.28515625" style="73" customWidth="1"/>
    <col min="5656" max="5656" width="9.5703125" style="73" customWidth="1"/>
    <col min="5657" max="5657" width="15.5703125" style="73" customWidth="1"/>
    <col min="5658" max="5889" width="9.140625" style="73"/>
    <col min="5890" max="5890" width="6.85546875" style="73" customWidth="1"/>
    <col min="5891" max="5891" width="2.140625" style="73" customWidth="1"/>
    <col min="5892" max="5892" width="6.140625" style="73" customWidth="1"/>
    <col min="5893" max="5893" width="8.85546875" style="73" customWidth="1"/>
    <col min="5894" max="5894" width="28.42578125" style="73" customWidth="1"/>
    <col min="5895" max="5895" width="13.85546875" style="73" customWidth="1"/>
    <col min="5896" max="5896" width="8.42578125" style="73" customWidth="1"/>
    <col min="5897" max="5900" width="0" style="73" hidden="1" customWidth="1"/>
    <col min="5901" max="5901" width="5.28515625" style="73" customWidth="1"/>
    <col min="5902" max="5902" width="5.5703125" style="73" customWidth="1"/>
    <col min="5903" max="5903" width="6" style="73" customWidth="1"/>
    <col min="5904" max="5904" width="5.5703125" style="73" customWidth="1"/>
    <col min="5905" max="5906" width="5.7109375" style="73" customWidth="1"/>
    <col min="5907" max="5907" width="9.85546875" style="73" customWidth="1"/>
    <col min="5908" max="5908" width="9.7109375" style="73" customWidth="1"/>
    <col min="5909" max="5909" width="8.85546875" style="73" customWidth="1"/>
    <col min="5910" max="5910" width="10" style="73" customWidth="1"/>
    <col min="5911" max="5911" width="8.28515625" style="73" customWidth="1"/>
    <col min="5912" max="5912" width="9.5703125" style="73" customWidth="1"/>
    <col min="5913" max="5913" width="15.5703125" style="73" customWidth="1"/>
    <col min="5914" max="6145" width="9.140625" style="73"/>
    <col min="6146" max="6146" width="6.85546875" style="73" customWidth="1"/>
    <col min="6147" max="6147" width="2.140625" style="73" customWidth="1"/>
    <col min="6148" max="6148" width="6.140625" style="73" customWidth="1"/>
    <col min="6149" max="6149" width="8.85546875" style="73" customWidth="1"/>
    <col min="6150" max="6150" width="28.42578125" style="73" customWidth="1"/>
    <col min="6151" max="6151" width="13.85546875" style="73" customWidth="1"/>
    <col min="6152" max="6152" width="8.42578125" style="73" customWidth="1"/>
    <col min="6153" max="6156" width="0" style="73" hidden="1" customWidth="1"/>
    <col min="6157" max="6157" width="5.28515625" style="73" customWidth="1"/>
    <col min="6158" max="6158" width="5.5703125" style="73" customWidth="1"/>
    <col min="6159" max="6159" width="6" style="73" customWidth="1"/>
    <col min="6160" max="6160" width="5.5703125" style="73" customWidth="1"/>
    <col min="6161" max="6162" width="5.7109375" style="73" customWidth="1"/>
    <col min="6163" max="6163" width="9.85546875" style="73" customWidth="1"/>
    <col min="6164" max="6164" width="9.7109375" style="73" customWidth="1"/>
    <col min="6165" max="6165" width="8.85546875" style="73" customWidth="1"/>
    <col min="6166" max="6166" width="10" style="73" customWidth="1"/>
    <col min="6167" max="6167" width="8.28515625" style="73" customWidth="1"/>
    <col min="6168" max="6168" width="9.5703125" style="73" customWidth="1"/>
    <col min="6169" max="6169" width="15.5703125" style="73" customWidth="1"/>
    <col min="6170" max="6401" width="9.140625" style="73"/>
    <col min="6402" max="6402" width="6.85546875" style="73" customWidth="1"/>
    <col min="6403" max="6403" width="2.140625" style="73" customWidth="1"/>
    <col min="6404" max="6404" width="6.140625" style="73" customWidth="1"/>
    <col min="6405" max="6405" width="8.85546875" style="73" customWidth="1"/>
    <col min="6406" max="6406" width="28.42578125" style="73" customWidth="1"/>
    <col min="6407" max="6407" width="13.85546875" style="73" customWidth="1"/>
    <col min="6408" max="6408" width="8.42578125" style="73" customWidth="1"/>
    <col min="6409" max="6412" width="0" style="73" hidden="1" customWidth="1"/>
    <col min="6413" max="6413" width="5.28515625" style="73" customWidth="1"/>
    <col min="6414" max="6414" width="5.5703125" style="73" customWidth="1"/>
    <col min="6415" max="6415" width="6" style="73" customWidth="1"/>
    <col min="6416" max="6416" width="5.5703125" style="73" customWidth="1"/>
    <col min="6417" max="6418" width="5.7109375" style="73" customWidth="1"/>
    <col min="6419" max="6419" width="9.85546875" style="73" customWidth="1"/>
    <col min="6420" max="6420" width="9.7109375" style="73" customWidth="1"/>
    <col min="6421" max="6421" width="8.85546875" style="73" customWidth="1"/>
    <col min="6422" max="6422" width="10" style="73" customWidth="1"/>
    <col min="6423" max="6423" width="8.28515625" style="73" customWidth="1"/>
    <col min="6424" max="6424" width="9.5703125" style="73" customWidth="1"/>
    <col min="6425" max="6425" width="15.5703125" style="73" customWidth="1"/>
    <col min="6426" max="6657" width="9.140625" style="73"/>
    <col min="6658" max="6658" width="6.85546875" style="73" customWidth="1"/>
    <col min="6659" max="6659" width="2.140625" style="73" customWidth="1"/>
    <col min="6660" max="6660" width="6.140625" style="73" customWidth="1"/>
    <col min="6661" max="6661" width="8.85546875" style="73" customWidth="1"/>
    <col min="6662" max="6662" width="28.42578125" style="73" customWidth="1"/>
    <col min="6663" max="6663" width="13.85546875" style="73" customWidth="1"/>
    <col min="6664" max="6664" width="8.42578125" style="73" customWidth="1"/>
    <col min="6665" max="6668" width="0" style="73" hidden="1" customWidth="1"/>
    <col min="6669" max="6669" width="5.28515625" style="73" customWidth="1"/>
    <col min="6670" max="6670" width="5.5703125" style="73" customWidth="1"/>
    <col min="6671" max="6671" width="6" style="73" customWidth="1"/>
    <col min="6672" max="6672" width="5.5703125" style="73" customWidth="1"/>
    <col min="6673" max="6674" width="5.7109375" style="73" customWidth="1"/>
    <col min="6675" max="6675" width="9.85546875" style="73" customWidth="1"/>
    <col min="6676" max="6676" width="9.7109375" style="73" customWidth="1"/>
    <col min="6677" max="6677" width="8.85546875" style="73" customWidth="1"/>
    <col min="6678" max="6678" width="10" style="73" customWidth="1"/>
    <col min="6679" max="6679" width="8.28515625" style="73" customWidth="1"/>
    <col min="6680" max="6680" width="9.5703125" style="73" customWidth="1"/>
    <col min="6681" max="6681" width="15.5703125" style="73" customWidth="1"/>
    <col min="6682" max="6913" width="9.140625" style="73"/>
    <col min="6914" max="6914" width="6.85546875" style="73" customWidth="1"/>
    <col min="6915" max="6915" width="2.140625" style="73" customWidth="1"/>
    <col min="6916" max="6916" width="6.140625" style="73" customWidth="1"/>
    <col min="6917" max="6917" width="8.85546875" style="73" customWidth="1"/>
    <col min="6918" max="6918" width="28.42578125" style="73" customWidth="1"/>
    <col min="6919" max="6919" width="13.85546875" style="73" customWidth="1"/>
    <col min="6920" max="6920" width="8.42578125" style="73" customWidth="1"/>
    <col min="6921" max="6924" width="0" style="73" hidden="1" customWidth="1"/>
    <col min="6925" max="6925" width="5.28515625" style="73" customWidth="1"/>
    <col min="6926" max="6926" width="5.5703125" style="73" customWidth="1"/>
    <col min="6927" max="6927" width="6" style="73" customWidth="1"/>
    <col min="6928" max="6928" width="5.5703125" style="73" customWidth="1"/>
    <col min="6929" max="6930" width="5.7109375" style="73" customWidth="1"/>
    <col min="6931" max="6931" width="9.85546875" style="73" customWidth="1"/>
    <col min="6932" max="6932" width="9.7109375" style="73" customWidth="1"/>
    <col min="6933" max="6933" width="8.85546875" style="73" customWidth="1"/>
    <col min="6934" max="6934" width="10" style="73" customWidth="1"/>
    <col min="6935" max="6935" width="8.28515625" style="73" customWidth="1"/>
    <col min="6936" max="6936" width="9.5703125" style="73" customWidth="1"/>
    <col min="6937" max="6937" width="15.5703125" style="73" customWidth="1"/>
    <col min="6938" max="7169" width="9.140625" style="73"/>
    <col min="7170" max="7170" width="6.85546875" style="73" customWidth="1"/>
    <col min="7171" max="7171" width="2.140625" style="73" customWidth="1"/>
    <col min="7172" max="7172" width="6.140625" style="73" customWidth="1"/>
    <col min="7173" max="7173" width="8.85546875" style="73" customWidth="1"/>
    <col min="7174" max="7174" width="28.42578125" style="73" customWidth="1"/>
    <col min="7175" max="7175" width="13.85546875" style="73" customWidth="1"/>
    <col min="7176" max="7176" width="8.42578125" style="73" customWidth="1"/>
    <col min="7177" max="7180" width="0" style="73" hidden="1" customWidth="1"/>
    <col min="7181" max="7181" width="5.28515625" style="73" customWidth="1"/>
    <col min="7182" max="7182" width="5.5703125" style="73" customWidth="1"/>
    <col min="7183" max="7183" width="6" style="73" customWidth="1"/>
    <col min="7184" max="7184" width="5.5703125" style="73" customWidth="1"/>
    <col min="7185" max="7186" width="5.7109375" style="73" customWidth="1"/>
    <col min="7187" max="7187" width="9.85546875" style="73" customWidth="1"/>
    <col min="7188" max="7188" width="9.7109375" style="73" customWidth="1"/>
    <col min="7189" max="7189" width="8.85546875" style="73" customWidth="1"/>
    <col min="7190" max="7190" width="10" style="73" customWidth="1"/>
    <col min="7191" max="7191" width="8.28515625" style="73" customWidth="1"/>
    <col min="7192" max="7192" width="9.5703125" style="73" customWidth="1"/>
    <col min="7193" max="7193" width="15.5703125" style="73" customWidth="1"/>
    <col min="7194" max="7425" width="9.140625" style="73"/>
    <col min="7426" max="7426" width="6.85546875" style="73" customWidth="1"/>
    <col min="7427" max="7427" width="2.140625" style="73" customWidth="1"/>
    <col min="7428" max="7428" width="6.140625" style="73" customWidth="1"/>
    <col min="7429" max="7429" width="8.85546875" style="73" customWidth="1"/>
    <col min="7430" max="7430" width="28.42578125" style="73" customWidth="1"/>
    <col min="7431" max="7431" width="13.85546875" style="73" customWidth="1"/>
    <col min="7432" max="7432" width="8.42578125" style="73" customWidth="1"/>
    <col min="7433" max="7436" width="0" style="73" hidden="1" customWidth="1"/>
    <col min="7437" max="7437" width="5.28515625" style="73" customWidth="1"/>
    <col min="7438" max="7438" width="5.5703125" style="73" customWidth="1"/>
    <col min="7439" max="7439" width="6" style="73" customWidth="1"/>
    <col min="7440" max="7440" width="5.5703125" style="73" customWidth="1"/>
    <col min="7441" max="7442" width="5.7109375" style="73" customWidth="1"/>
    <col min="7443" max="7443" width="9.85546875" style="73" customWidth="1"/>
    <col min="7444" max="7444" width="9.7109375" style="73" customWidth="1"/>
    <col min="7445" max="7445" width="8.85546875" style="73" customWidth="1"/>
    <col min="7446" max="7446" width="10" style="73" customWidth="1"/>
    <col min="7447" max="7447" width="8.28515625" style="73" customWidth="1"/>
    <col min="7448" max="7448" width="9.5703125" style="73" customWidth="1"/>
    <col min="7449" max="7449" width="15.5703125" style="73" customWidth="1"/>
    <col min="7450" max="7681" width="9.140625" style="73"/>
    <col min="7682" max="7682" width="6.85546875" style="73" customWidth="1"/>
    <col min="7683" max="7683" width="2.140625" style="73" customWidth="1"/>
    <col min="7684" max="7684" width="6.140625" style="73" customWidth="1"/>
    <col min="7685" max="7685" width="8.85546875" style="73" customWidth="1"/>
    <col min="7686" max="7686" width="28.42578125" style="73" customWidth="1"/>
    <col min="7687" max="7687" width="13.85546875" style="73" customWidth="1"/>
    <col min="7688" max="7688" width="8.42578125" style="73" customWidth="1"/>
    <col min="7689" max="7692" width="0" style="73" hidden="1" customWidth="1"/>
    <col min="7693" max="7693" width="5.28515625" style="73" customWidth="1"/>
    <col min="7694" max="7694" width="5.5703125" style="73" customWidth="1"/>
    <col min="7695" max="7695" width="6" style="73" customWidth="1"/>
    <col min="7696" max="7696" width="5.5703125" style="73" customWidth="1"/>
    <col min="7697" max="7698" width="5.7109375" style="73" customWidth="1"/>
    <col min="7699" max="7699" width="9.85546875" style="73" customWidth="1"/>
    <col min="7700" max="7700" width="9.7109375" style="73" customWidth="1"/>
    <col min="7701" max="7701" width="8.85546875" style="73" customWidth="1"/>
    <col min="7702" max="7702" width="10" style="73" customWidth="1"/>
    <col min="7703" max="7703" width="8.28515625" style="73" customWidth="1"/>
    <col min="7704" max="7704" width="9.5703125" style="73" customWidth="1"/>
    <col min="7705" max="7705" width="15.5703125" style="73" customWidth="1"/>
    <col min="7706" max="7937" width="9.140625" style="73"/>
    <col min="7938" max="7938" width="6.85546875" style="73" customWidth="1"/>
    <col min="7939" max="7939" width="2.140625" style="73" customWidth="1"/>
    <col min="7940" max="7940" width="6.140625" style="73" customWidth="1"/>
    <col min="7941" max="7941" width="8.85546875" style="73" customWidth="1"/>
    <col min="7942" max="7942" width="28.42578125" style="73" customWidth="1"/>
    <col min="7943" max="7943" width="13.85546875" style="73" customWidth="1"/>
    <col min="7944" max="7944" width="8.42578125" style="73" customWidth="1"/>
    <col min="7945" max="7948" width="0" style="73" hidden="1" customWidth="1"/>
    <col min="7949" max="7949" width="5.28515625" style="73" customWidth="1"/>
    <col min="7950" max="7950" width="5.5703125" style="73" customWidth="1"/>
    <col min="7951" max="7951" width="6" style="73" customWidth="1"/>
    <col min="7952" max="7952" width="5.5703125" style="73" customWidth="1"/>
    <col min="7953" max="7954" width="5.7109375" style="73" customWidth="1"/>
    <col min="7955" max="7955" width="9.85546875" style="73" customWidth="1"/>
    <col min="7956" max="7956" width="9.7109375" style="73" customWidth="1"/>
    <col min="7957" max="7957" width="8.85546875" style="73" customWidth="1"/>
    <col min="7958" max="7958" width="10" style="73" customWidth="1"/>
    <col min="7959" max="7959" width="8.28515625" style="73" customWidth="1"/>
    <col min="7960" max="7960" width="9.5703125" style="73" customWidth="1"/>
    <col min="7961" max="7961" width="15.5703125" style="73" customWidth="1"/>
    <col min="7962" max="8193" width="9.140625" style="73"/>
    <col min="8194" max="8194" width="6.85546875" style="73" customWidth="1"/>
    <col min="8195" max="8195" width="2.140625" style="73" customWidth="1"/>
    <col min="8196" max="8196" width="6.140625" style="73" customWidth="1"/>
    <col min="8197" max="8197" width="8.85546875" style="73" customWidth="1"/>
    <col min="8198" max="8198" width="28.42578125" style="73" customWidth="1"/>
    <col min="8199" max="8199" width="13.85546875" style="73" customWidth="1"/>
    <col min="8200" max="8200" width="8.42578125" style="73" customWidth="1"/>
    <col min="8201" max="8204" width="0" style="73" hidden="1" customWidth="1"/>
    <col min="8205" max="8205" width="5.28515625" style="73" customWidth="1"/>
    <col min="8206" max="8206" width="5.5703125" style="73" customWidth="1"/>
    <col min="8207" max="8207" width="6" style="73" customWidth="1"/>
    <col min="8208" max="8208" width="5.5703125" style="73" customWidth="1"/>
    <col min="8209" max="8210" width="5.7109375" style="73" customWidth="1"/>
    <col min="8211" max="8211" width="9.85546875" style="73" customWidth="1"/>
    <col min="8212" max="8212" width="9.7109375" style="73" customWidth="1"/>
    <col min="8213" max="8213" width="8.85546875" style="73" customWidth="1"/>
    <col min="8214" max="8214" width="10" style="73" customWidth="1"/>
    <col min="8215" max="8215" width="8.28515625" style="73" customWidth="1"/>
    <col min="8216" max="8216" width="9.5703125" style="73" customWidth="1"/>
    <col min="8217" max="8217" width="15.5703125" style="73" customWidth="1"/>
    <col min="8218" max="8449" width="9.140625" style="73"/>
    <col min="8450" max="8450" width="6.85546875" style="73" customWidth="1"/>
    <col min="8451" max="8451" width="2.140625" style="73" customWidth="1"/>
    <col min="8452" max="8452" width="6.140625" style="73" customWidth="1"/>
    <col min="8453" max="8453" width="8.85546875" style="73" customWidth="1"/>
    <col min="8454" max="8454" width="28.42578125" style="73" customWidth="1"/>
    <col min="8455" max="8455" width="13.85546875" style="73" customWidth="1"/>
    <col min="8456" max="8456" width="8.42578125" style="73" customWidth="1"/>
    <col min="8457" max="8460" width="0" style="73" hidden="1" customWidth="1"/>
    <col min="8461" max="8461" width="5.28515625" style="73" customWidth="1"/>
    <col min="8462" max="8462" width="5.5703125" style="73" customWidth="1"/>
    <col min="8463" max="8463" width="6" style="73" customWidth="1"/>
    <col min="8464" max="8464" width="5.5703125" style="73" customWidth="1"/>
    <col min="8465" max="8466" width="5.7109375" style="73" customWidth="1"/>
    <col min="8467" max="8467" width="9.85546875" style="73" customWidth="1"/>
    <col min="8468" max="8468" width="9.7109375" style="73" customWidth="1"/>
    <col min="8469" max="8469" width="8.85546875" style="73" customWidth="1"/>
    <col min="8470" max="8470" width="10" style="73" customWidth="1"/>
    <col min="8471" max="8471" width="8.28515625" style="73" customWidth="1"/>
    <col min="8472" max="8472" width="9.5703125" style="73" customWidth="1"/>
    <col min="8473" max="8473" width="15.5703125" style="73" customWidth="1"/>
    <col min="8474" max="8705" width="9.140625" style="73"/>
    <col min="8706" max="8706" width="6.85546875" style="73" customWidth="1"/>
    <col min="8707" max="8707" width="2.140625" style="73" customWidth="1"/>
    <col min="8708" max="8708" width="6.140625" style="73" customWidth="1"/>
    <col min="8709" max="8709" width="8.85546875" style="73" customWidth="1"/>
    <col min="8710" max="8710" width="28.42578125" style="73" customWidth="1"/>
    <col min="8711" max="8711" width="13.85546875" style="73" customWidth="1"/>
    <col min="8712" max="8712" width="8.42578125" style="73" customWidth="1"/>
    <col min="8713" max="8716" width="0" style="73" hidden="1" customWidth="1"/>
    <col min="8717" max="8717" width="5.28515625" style="73" customWidth="1"/>
    <col min="8718" max="8718" width="5.5703125" style="73" customWidth="1"/>
    <col min="8719" max="8719" width="6" style="73" customWidth="1"/>
    <col min="8720" max="8720" width="5.5703125" style="73" customWidth="1"/>
    <col min="8721" max="8722" width="5.7109375" style="73" customWidth="1"/>
    <col min="8723" max="8723" width="9.85546875" style="73" customWidth="1"/>
    <col min="8724" max="8724" width="9.7109375" style="73" customWidth="1"/>
    <col min="8725" max="8725" width="8.85546875" style="73" customWidth="1"/>
    <col min="8726" max="8726" width="10" style="73" customWidth="1"/>
    <col min="8727" max="8727" width="8.28515625" style="73" customWidth="1"/>
    <col min="8728" max="8728" width="9.5703125" style="73" customWidth="1"/>
    <col min="8729" max="8729" width="15.5703125" style="73" customWidth="1"/>
    <col min="8730" max="8961" width="9.140625" style="73"/>
    <col min="8962" max="8962" width="6.85546875" style="73" customWidth="1"/>
    <col min="8963" max="8963" width="2.140625" style="73" customWidth="1"/>
    <col min="8964" max="8964" width="6.140625" style="73" customWidth="1"/>
    <col min="8965" max="8965" width="8.85546875" style="73" customWidth="1"/>
    <col min="8966" max="8966" width="28.42578125" style="73" customWidth="1"/>
    <col min="8967" max="8967" width="13.85546875" style="73" customWidth="1"/>
    <col min="8968" max="8968" width="8.42578125" style="73" customWidth="1"/>
    <col min="8969" max="8972" width="0" style="73" hidden="1" customWidth="1"/>
    <col min="8973" max="8973" width="5.28515625" style="73" customWidth="1"/>
    <col min="8974" max="8974" width="5.5703125" style="73" customWidth="1"/>
    <col min="8975" max="8975" width="6" style="73" customWidth="1"/>
    <col min="8976" max="8976" width="5.5703125" style="73" customWidth="1"/>
    <col min="8977" max="8978" width="5.7109375" style="73" customWidth="1"/>
    <col min="8979" max="8979" width="9.85546875" style="73" customWidth="1"/>
    <col min="8980" max="8980" width="9.7109375" style="73" customWidth="1"/>
    <col min="8981" max="8981" width="8.85546875" style="73" customWidth="1"/>
    <col min="8982" max="8982" width="10" style="73" customWidth="1"/>
    <col min="8983" max="8983" width="8.28515625" style="73" customWidth="1"/>
    <col min="8984" max="8984" width="9.5703125" style="73" customWidth="1"/>
    <col min="8985" max="8985" width="15.5703125" style="73" customWidth="1"/>
    <col min="8986" max="9217" width="9.140625" style="73"/>
    <col min="9218" max="9218" width="6.85546875" style="73" customWidth="1"/>
    <col min="9219" max="9219" width="2.140625" style="73" customWidth="1"/>
    <col min="9220" max="9220" width="6.140625" style="73" customWidth="1"/>
    <col min="9221" max="9221" width="8.85546875" style="73" customWidth="1"/>
    <col min="9222" max="9222" width="28.42578125" style="73" customWidth="1"/>
    <col min="9223" max="9223" width="13.85546875" style="73" customWidth="1"/>
    <col min="9224" max="9224" width="8.42578125" style="73" customWidth="1"/>
    <col min="9225" max="9228" width="0" style="73" hidden="1" customWidth="1"/>
    <col min="9229" max="9229" width="5.28515625" style="73" customWidth="1"/>
    <col min="9230" max="9230" width="5.5703125" style="73" customWidth="1"/>
    <col min="9231" max="9231" width="6" style="73" customWidth="1"/>
    <col min="9232" max="9232" width="5.5703125" style="73" customWidth="1"/>
    <col min="9233" max="9234" width="5.7109375" style="73" customWidth="1"/>
    <col min="9235" max="9235" width="9.85546875" style="73" customWidth="1"/>
    <col min="9236" max="9236" width="9.7109375" style="73" customWidth="1"/>
    <col min="9237" max="9237" width="8.85546875" style="73" customWidth="1"/>
    <col min="9238" max="9238" width="10" style="73" customWidth="1"/>
    <col min="9239" max="9239" width="8.28515625" style="73" customWidth="1"/>
    <col min="9240" max="9240" width="9.5703125" style="73" customWidth="1"/>
    <col min="9241" max="9241" width="15.5703125" style="73" customWidth="1"/>
    <col min="9242" max="9473" width="9.140625" style="73"/>
    <col min="9474" max="9474" width="6.85546875" style="73" customWidth="1"/>
    <col min="9475" max="9475" width="2.140625" style="73" customWidth="1"/>
    <col min="9476" max="9476" width="6.140625" style="73" customWidth="1"/>
    <col min="9477" max="9477" width="8.85546875" style="73" customWidth="1"/>
    <col min="9478" max="9478" width="28.42578125" style="73" customWidth="1"/>
    <col min="9479" max="9479" width="13.85546875" style="73" customWidth="1"/>
    <col min="9480" max="9480" width="8.42578125" style="73" customWidth="1"/>
    <col min="9481" max="9484" width="0" style="73" hidden="1" customWidth="1"/>
    <col min="9485" max="9485" width="5.28515625" style="73" customWidth="1"/>
    <col min="9486" max="9486" width="5.5703125" style="73" customWidth="1"/>
    <col min="9487" max="9487" width="6" style="73" customWidth="1"/>
    <col min="9488" max="9488" width="5.5703125" style="73" customWidth="1"/>
    <col min="9489" max="9490" width="5.7109375" style="73" customWidth="1"/>
    <col min="9491" max="9491" width="9.85546875" style="73" customWidth="1"/>
    <col min="9492" max="9492" width="9.7109375" style="73" customWidth="1"/>
    <col min="9493" max="9493" width="8.85546875" style="73" customWidth="1"/>
    <col min="9494" max="9494" width="10" style="73" customWidth="1"/>
    <col min="9495" max="9495" width="8.28515625" style="73" customWidth="1"/>
    <col min="9496" max="9496" width="9.5703125" style="73" customWidth="1"/>
    <col min="9497" max="9497" width="15.5703125" style="73" customWidth="1"/>
    <col min="9498" max="9729" width="9.140625" style="73"/>
    <col min="9730" max="9730" width="6.85546875" style="73" customWidth="1"/>
    <col min="9731" max="9731" width="2.140625" style="73" customWidth="1"/>
    <col min="9732" max="9732" width="6.140625" style="73" customWidth="1"/>
    <col min="9733" max="9733" width="8.85546875" style="73" customWidth="1"/>
    <col min="9734" max="9734" width="28.42578125" style="73" customWidth="1"/>
    <col min="9735" max="9735" width="13.85546875" style="73" customWidth="1"/>
    <col min="9736" max="9736" width="8.42578125" style="73" customWidth="1"/>
    <col min="9737" max="9740" width="0" style="73" hidden="1" customWidth="1"/>
    <col min="9741" max="9741" width="5.28515625" style="73" customWidth="1"/>
    <col min="9742" max="9742" width="5.5703125" style="73" customWidth="1"/>
    <col min="9743" max="9743" width="6" style="73" customWidth="1"/>
    <col min="9744" max="9744" width="5.5703125" style="73" customWidth="1"/>
    <col min="9745" max="9746" width="5.7109375" style="73" customWidth="1"/>
    <col min="9747" max="9747" width="9.85546875" style="73" customWidth="1"/>
    <col min="9748" max="9748" width="9.7109375" style="73" customWidth="1"/>
    <col min="9749" max="9749" width="8.85546875" style="73" customWidth="1"/>
    <col min="9750" max="9750" width="10" style="73" customWidth="1"/>
    <col min="9751" max="9751" width="8.28515625" style="73" customWidth="1"/>
    <col min="9752" max="9752" width="9.5703125" style="73" customWidth="1"/>
    <col min="9753" max="9753" width="15.5703125" style="73" customWidth="1"/>
    <col min="9754" max="9985" width="9.140625" style="73"/>
    <col min="9986" max="9986" width="6.85546875" style="73" customWidth="1"/>
    <col min="9987" max="9987" width="2.140625" style="73" customWidth="1"/>
    <col min="9988" max="9988" width="6.140625" style="73" customWidth="1"/>
    <col min="9989" max="9989" width="8.85546875" style="73" customWidth="1"/>
    <col min="9990" max="9990" width="28.42578125" style="73" customWidth="1"/>
    <col min="9991" max="9991" width="13.85546875" style="73" customWidth="1"/>
    <col min="9992" max="9992" width="8.42578125" style="73" customWidth="1"/>
    <col min="9993" max="9996" width="0" style="73" hidden="1" customWidth="1"/>
    <col min="9997" max="9997" width="5.28515625" style="73" customWidth="1"/>
    <col min="9998" max="9998" width="5.5703125" style="73" customWidth="1"/>
    <col min="9999" max="9999" width="6" style="73" customWidth="1"/>
    <col min="10000" max="10000" width="5.5703125" style="73" customWidth="1"/>
    <col min="10001" max="10002" width="5.7109375" style="73" customWidth="1"/>
    <col min="10003" max="10003" width="9.85546875" style="73" customWidth="1"/>
    <col min="10004" max="10004" width="9.7109375" style="73" customWidth="1"/>
    <col min="10005" max="10005" width="8.85546875" style="73" customWidth="1"/>
    <col min="10006" max="10006" width="10" style="73" customWidth="1"/>
    <col min="10007" max="10007" width="8.28515625" style="73" customWidth="1"/>
    <col min="10008" max="10008" width="9.5703125" style="73" customWidth="1"/>
    <col min="10009" max="10009" width="15.5703125" style="73" customWidth="1"/>
    <col min="10010" max="10241" width="9.140625" style="73"/>
    <col min="10242" max="10242" width="6.85546875" style="73" customWidth="1"/>
    <col min="10243" max="10243" width="2.140625" style="73" customWidth="1"/>
    <col min="10244" max="10244" width="6.140625" style="73" customWidth="1"/>
    <col min="10245" max="10245" width="8.85546875" style="73" customWidth="1"/>
    <col min="10246" max="10246" width="28.42578125" style="73" customWidth="1"/>
    <col min="10247" max="10247" width="13.85546875" style="73" customWidth="1"/>
    <col min="10248" max="10248" width="8.42578125" style="73" customWidth="1"/>
    <col min="10249" max="10252" width="0" style="73" hidden="1" customWidth="1"/>
    <col min="10253" max="10253" width="5.28515625" style="73" customWidth="1"/>
    <col min="10254" max="10254" width="5.5703125" style="73" customWidth="1"/>
    <col min="10255" max="10255" width="6" style="73" customWidth="1"/>
    <col min="10256" max="10256" width="5.5703125" style="73" customWidth="1"/>
    <col min="10257" max="10258" width="5.7109375" style="73" customWidth="1"/>
    <col min="10259" max="10259" width="9.85546875" style="73" customWidth="1"/>
    <col min="10260" max="10260" width="9.7109375" style="73" customWidth="1"/>
    <col min="10261" max="10261" width="8.85546875" style="73" customWidth="1"/>
    <col min="10262" max="10262" width="10" style="73" customWidth="1"/>
    <col min="10263" max="10263" width="8.28515625" style="73" customWidth="1"/>
    <col min="10264" max="10264" width="9.5703125" style="73" customWidth="1"/>
    <col min="10265" max="10265" width="15.5703125" style="73" customWidth="1"/>
    <col min="10266" max="10497" width="9.140625" style="73"/>
    <col min="10498" max="10498" width="6.85546875" style="73" customWidth="1"/>
    <col min="10499" max="10499" width="2.140625" style="73" customWidth="1"/>
    <col min="10500" max="10500" width="6.140625" style="73" customWidth="1"/>
    <col min="10501" max="10501" width="8.85546875" style="73" customWidth="1"/>
    <col min="10502" max="10502" width="28.42578125" style="73" customWidth="1"/>
    <col min="10503" max="10503" width="13.85546875" style="73" customWidth="1"/>
    <col min="10504" max="10504" width="8.42578125" style="73" customWidth="1"/>
    <col min="10505" max="10508" width="0" style="73" hidden="1" customWidth="1"/>
    <col min="10509" max="10509" width="5.28515625" style="73" customWidth="1"/>
    <col min="10510" max="10510" width="5.5703125" style="73" customWidth="1"/>
    <col min="10511" max="10511" width="6" style="73" customWidth="1"/>
    <col min="10512" max="10512" width="5.5703125" style="73" customWidth="1"/>
    <col min="10513" max="10514" width="5.7109375" style="73" customWidth="1"/>
    <col min="10515" max="10515" width="9.85546875" style="73" customWidth="1"/>
    <col min="10516" max="10516" width="9.7109375" style="73" customWidth="1"/>
    <col min="10517" max="10517" width="8.85546875" style="73" customWidth="1"/>
    <col min="10518" max="10518" width="10" style="73" customWidth="1"/>
    <col min="10519" max="10519" width="8.28515625" style="73" customWidth="1"/>
    <col min="10520" max="10520" width="9.5703125" style="73" customWidth="1"/>
    <col min="10521" max="10521" width="15.5703125" style="73" customWidth="1"/>
    <col min="10522" max="10753" width="9.140625" style="73"/>
    <col min="10754" max="10754" width="6.85546875" style="73" customWidth="1"/>
    <col min="10755" max="10755" width="2.140625" style="73" customWidth="1"/>
    <col min="10756" max="10756" width="6.140625" style="73" customWidth="1"/>
    <col min="10757" max="10757" width="8.85546875" style="73" customWidth="1"/>
    <col min="10758" max="10758" width="28.42578125" style="73" customWidth="1"/>
    <col min="10759" max="10759" width="13.85546875" style="73" customWidth="1"/>
    <col min="10760" max="10760" width="8.42578125" style="73" customWidth="1"/>
    <col min="10761" max="10764" width="0" style="73" hidden="1" customWidth="1"/>
    <col min="10765" max="10765" width="5.28515625" style="73" customWidth="1"/>
    <col min="10766" max="10766" width="5.5703125" style="73" customWidth="1"/>
    <col min="10767" max="10767" width="6" style="73" customWidth="1"/>
    <col min="10768" max="10768" width="5.5703125" style="73" customWidth="1"/>
    <col min="10769" max="10770" width="5.7109375" style="73" customWidth="1"/>
    <col min="10771" max="10771" width="9.85546875" style="73" customWidth="1"/>
    <col min="10772" max="10772" width="9.7109375" style="73" customWidth="1"/>
    <col min="10773" max="10773" width="8.85546875" style="73" customWidth="1"/>
    <col min="10774" max="10774" width="10" style="73" customWidth="1"/>
    <col min="10775" max="10775" width="8.28515625" style="73" customWidth="1"/>
    <col min="10776" max="10776" width="9.5703125" style="73" customWidth="1"/>
    <col min="10777" max="10777" width="15.5703125" style="73" customWidth="1"/>
    <col min="10778" max="11009" width="9.140625" style="73"/>
    <col min="11010" max="11010" width="6.85546875" style="73" customWidth="1"/>
    <col min="11011" max="11011" width="2.140625" style="73" customWidth="1"/>
    <col min="11012" max="11012" width="6.140625" style="73" customWidth="1"/>
    <col min="11013" max="11013" width="8.85546875" style="73" customWidth="1"/>
    <col min="11014" max="11014" width="28.42578125" style="73" customWidth="1"/>
    <col min="11015" max="11015" width="13.85546875" style="73" customWidth="1"/>
    <col min="11016" max="11016" width="8.42578125" style="73" customWidth="1"/>
    <col min="11017" max="11020" width="0" style="73" hidden="1" customWidth="1"/>
    <col min="11021" max="11021" width="5.28515625" style="73" customWidth="1"/>
    <col min="11022" max="11022" width="5.5703125" style="73" customWidth="1"/>
    <col min="11023" max="11023" width="6" style="73" customWidth="1"/>
    <col min="11024" max="11024" width="5.5703125" style="73" customWidth="1"/>
    <col min="11025" max="11026" width="5.7109375" style="73" customWidth="1"/>
    <col min="11027" max="11027" width="9.85546875" style="73" customWidth="1"/>
    <col min="11028" max="11028" width="9.7109375" style="73" customWidth="1"/>
    <col min="11029" max="11029" width="8.85546875" style="73" customWidth="1"/>
    <col min="11030" max="11030" width="10" style="73" customWidth="1"/>
    <col min="11031" max="11031" width="8.28515625" style="73" customWidth="1"/>
    <col min="11032" max="11032" width="9.5703125" style="73" customWidth="1"/>
    <col min="11033" max="11033" width="15.5703125" style="73" customWidth="1"/>
    <col min="11034" max="11265" width="9.140625" style="73"/>
    <col min="11266" max="11266" width="6.85546875" style="73" customWidth="1"/>
    <col min="11267" max="11267" width="2.140625" style="73" customWidth="1"/>
    <col min="11268" max="11268" width="6.140625" style="73" customWidth="1"/>
    <col min="11269" max="11269" width="8.85546875" style="73" customWidth="1"/>
    <col min="11270" max="11270" width="28.42578125" style="73" customWidth="1"/>
    <col min="11271" max="11271" width="13.85546875" style="73" customWidth="1"/>
    <col min="11272" max="11272" width="8.42578125" style="73" customWidth="1"/>
    <col min="11273" max="11276" width="0" style="73" hidden="1" customWidth="1"/>
    <col min="11277" max="11277" width="5.28515625" style="73" customWidth="1"/>
    <col min="11278" max="11278" width="5.5703125" style="73" customWidth="1"/>
    <col min="11279" max="11279" width="6" style="73" customWidth="1"/>
    <col min="11280" max="11280" width="5.5703125" style="73" customWidth="1"/>
    <col min="11281" max="11282" width="5.7109375" style="73" customWidth="1"/>
    <col min="11283" max="11283" width="9.85546875" style="73" customWidth="1"/>
    <col min="11284" max="11284" width="9.7109375" style="73" customWidth="1"/>
    <col min="11285" max="11285" width="8.85546875" style="73" customWidth="1"/>
    <col min="11286" max="11286" width="10" style="73" customWidth="1"/>
    <col min="11287" max="11287" width="8.28515625" style="73" customWidth="1"/>
    <col min="11288" max="11288" width="9.5703125" style="73" customWidth="1"/>
    <col min="11289" max="11289" width="15.5703125" style="73" customWidth="1"/>
    <col min="11290" max="11521" width="9.140625" style="73"/>
    <col min="11522" max="11522" width="6.85546875" style="73" customWidth="1"/>
    <col min="11523" max="11523" width="2.140625" style="73" customWidth="1"/>
    <col min="11524" max="11524" width="6.140625" style="73" customWidth="1"/>
    <col min="11525" max="11525" width="8.85546875" style="73" customWidth="1"/>
    <col min="11526" max="11526" width="28.42578125" style="73" customWidth="1"/>
    <col min="11527" max="11527" width="13.85546875" style="73" customWidth="1"/>
    <col min="11528" max="11528" width="8.42578125" style="73" customWidth="1"/>
    <col min="11529" max="11532" width="0" style="73" hidden="1" customWidth="1"/>
    <col min="11533" max="11533" width="5.28515625" style="73" customWidth="1"/>
    <col min="11534" max="11534" width="5.5703125" style="73" customWidth="1"/>
    <col min="11535" max="11535" width="6" style="73" customWidth="1"/>
    <col min="11536" max="11536" width="5.5703125" style="73" customWidth="1"/>
    <col min="11537" max="11538" width="5.7109375" style="73" customWidth="1"/>
    <col min="11539" max="11539" width="9.85546875" style="73" customWidth="1"/>
    <col min="11540" max="11540" width="9.7109375" style="73" customWidth="1"/>
    <col min="11541" max="11541" width="8.85546875" style="73" customWidth="1"/>
    <col min="11542" max="11542" width="10" style="73" customWidth="1"/>
    <col min="11543" max="11543" width="8.28515625" style="73" customWidth="1"/>
    <col min="11544" max="11544" width="9.5703125" style="73" customWidth="1"/>
    <col min="11545" max="11545" width="15.5703125" style="73" customWidth="1"/>
    <col min="11546" max="11777" width="9.140625" style="73"/>
    <col min="11778" max="11778" width="6.85546875" style="73" customWidth="1"/>
    <col min="11779" max="11779" width="2.140625" style="73" customWidth="1"/>
    <col min="11780" max="11780" width="6.140625" style="73" customWidth="1"/>
    <col min="11781" max="11781" width="8.85546875" style="73" customWidth="1"/>
    <col min="11782" max="11782" width="28.42578125" style="73" customWidth="1"/>
    <col min="11783" max="11783" width="13.85546875" style="73" customWidth="1"/>
    <col min="11784" max="11784" width="8.42578125" style="73" customWidth="1"/>
    <col min="11785" max="11788" width="0" style="73" hidden="1" customWidth="1"/>
    <col min="11789" max="11789" width="5.28515625" style="73" customWidth="1"/>
    <col min="11790" max="11790" width="5.5703125" style="73" customWidth="1"/>
    <col min="11791" max="11791" width="6" style="73" customWidth="1"/>
    <col min="11792" max="11792" width="5.5703125" style="73" customWidth="1"/>
    <col min="11793" max="11794" width="5.7109375" style="73" customWidth="1"/>
    <col min="11795" max="11795" width="9.85546875" style="73" customWidth="1"/>
    <col min="11796" max="11796" width="9.7109375" style="73" customWidth="1"/>
    <col min="11797" max="11797" width="8.85546875" style="73" customWidth="1"/>
    <col min="11798" max="11798" width="10" style="73" customWidth="1"/>
    <col min="11799" max="11799" width="8.28515625" style="73" customWidth="1"/>
    <col min="11800" max="11800" width="9.5703125" style="73" customWidth="1"/>
    <col min="11801" max="11801" width="15.5703125" style="73" customWidth="1"/>
    <col min="11802" max="12033" width="9.140625" style="73"/>
    <col min="12034" max="12034" width="6.85546875" style="73" customWidth="1"/>
    <col min="12035" max="12035" width="2.140625" style="73" customWidth="1"/>
    <col min="12036" max="12036" width="6.140625" style="73" customWidth="1"/>
    <col min="12037" max="12037" width="8.85546875" style="73" customWidth="1"/>
    <col min="12038" max="12038" width="28.42578125" style="73" customWidth="1"/>
    <col min="12039" max="12039" width="13.85546875" style="73" customWidth="1"/>
    <col min="12040" max="12040" width="8.42578125" style="73" customWidth="1"/>
    <col min="12041" max="12044" width="0" style="73" hidden="1" customWidth="1"/>
    <col min="12045" max="12045" width="5.28515625" style="73" customWidth="1"/>
    <col min="12046" max="12046" width="5.5703125" style="73" customWidth="1"/>
    <col min="12047" max="12047" width="6" style="73" customWidth="1"/>
    <col min="12048" max="12048" width="5.5703125" style="73" customWidth="1"/>
    <col min="12049" max="12050" width="5.7109375" style="73" customWidth="1"/>
    <col min="12051" max="12051" width="9.85546875" style="73" customWidth="1"/>
    <col min="12052" max="12052" width="9.7109375" style="73" customWidth="1"/>
    <col min="12053" max="12053" width="8.85546875" style="73" customWidth="1"/>
    <col min="12054" max="12054" width="10" style="73" customWidth="1"/>
    <col min="12055" max="12055" width="8.28515625" style="73" customWidth="1"/>
    <col min="12056" max="12056" width="9.5703125" style="73" customWidth="1"/>
    <col min="12057" max="12057" width="15.5703125" style="73" customWidth="1"/>
    <col min="12058" max="12289" width="9.140625" style="73"/>
    <col min="12290" max="12290" width="6.85546875" style="73" customWidth="1"/>
    <col min="12291" max="12291" width="2.140625" style="73" customWidth="1"/>
    <col min="12292" max="12292" width="6.140625" style="73" customWidth="1"/>
    <col min="12293" max="12293" width="8.85546875" style="73" customWidth="1"/>
    <col min="12294" max="12294" width="28.42578125" style="73" customWidth="1"/>
    <col min="12295" max="12295" width="13.85546875" style="73" customWidth="1"/>
    <col min="12296" max="12296" width="8.42578125" style="73" customWidth="1"/>
    <col min="12297" max="12300" width="0" style="73" hidden="1" customWidth="1"/>
    <col min="12301" max="12301" width="5.28515625" style="73" customWidth="1"/>
    <col min="12302" max="12302" width="5.5703125" style="73" customWidth="1"/>
    <col min="12303" max="12303" width="6" style="73" customWidth="1"/>
    <col min="12304" max="12304" width="5.5703125" style="73" customWidth="1"/>
    <col min="12305" max="12306" width="5.7109375" style="73" customWidth="1"/>
    <col min="12307" max="12307" width="9.85546875" style="73" customWidth="1"/>
    <col min="12308" max="12308" width="9.7109375" style="73" customWidth="1"/>
    <col min="12309" max="12309" width="8.85546875" style="73" customWidth="1"/>
    <col min="12310" max="12310" width="10" style="73" customWidth="1"/>
    <col min="12311" max="12311" width="8.28515625" style="73" customWidth="1"/>
    <col min="12312" max="12312" width="9.5703125" style="73" customWidth="1"/>
    <col min="12313" max="12313" width="15.5703125" style="73" customWidth="1"/>
    <col min="12314" max="12545" width="9.140625" style="73"/>
    <col min="12546" max="12546" width="6.85546875" style="73" customWidth="1"/>
    <col min="12547" max="12547" width="2.140625" style="73" customWidth="1"/>
    <col min="12548" max="12548" width="6.140625" style="73" customWidth="1"/>
    <col min="12549" max="12549" width="8.85546875" style="73" customWidth="1"/>
    <col min="12550" max="12550" width="28.42578125" style="73" customWidth="1"/>
    <col min="12551" max="12551" width="13.85546875" style="73" customWidth="1"/>
    <col min="12552" max="12552" width="8.42578125" style="73" customWidth="1"/>
    <col min="12553" max="12556" width="0" style="73" hidden="1" customWidth="1"/>
    <col min="12557" max="12557" width="5.28515625" style="73" customWidth="1"/>
    <col min="12558" max="12558" width="5.5703125" style="73" customWidth="1"/>
    <col min="12559" max="12559" width="6" style="73" customWidth="1"/>
    <col min="12560" max="12560" width="5.5703125" style="73" customWidth="1"/>
    <col min="12561" max="12562" width="5.7109375" style="73" customWidth="1"/>
    <col min="12563" max="12563" width="9.85546875" style="73" customWidth="1"/>
    <col min="12564" max="12564" width="9.7109375" style="73" customWidth="1"/>
    <col min="12565" max="12565" width="8.85546875" style="73" customWidth="1"/>
    <col min="12566" max="12566" width="10" style="73" customWidth="1"/>
    <col min="12567" max="12567" width="8.28515625" style="73" customWidth="1"/>
    <col min="12568" max="12568" width="9.5703125" style="73" customWidth="1"/>
    <col min="12569" max="12569" width="15.5703125" style="73" customWidth="1"/>
    <col min="12570" max="12801" width="9.140625" style="73"/>
    <col min="12802" max="12802" width="6.85546875" style="73" customWidth="1"/>
    <col min="12803" max="12803" width="2.140625" style="73" customWidth="1"/>
    <col min="12804" max="12804" width="6.140625" style="73" customWidth="1"/>
    <col min="12805" max="12805" width="8.85546875" style="73" customWidth="1"/>
    <col min="12806" max="12806" width="28.42578125" style="73" customWidth="1"/>
    <col min="12807" max="12807" width="13.85546875" style="73" customWidth="1"/>
    <col min="12808" max="12808" width="8.42578125" style="73" customWidth="1"/>
    <col min="12809" max="12812" width="0" style="73" hidden="1" customWidth="1"/>
    <col min="12813" max="12813" width="5.28515625" style="73" customWidth="1"/>
    <col min="12814" max="12814" width="5.5703125" style="73" customWidth="1"/>
    <col min="12815" max="12815" width="6" style="73" customWidth="1"/>
    <col min="12816" max="12816" width="5.5703125" style="73" customWidth="1"/>
    <col min="12817" max="12818" width="5.7109375" style="73" customWidth="1"/>
    <col min="12819" max="12819" width="9.85546875" style="73" customWidth="1"/>
    <col min="12820" max="12820" width="9.7109375" style="73" customWidth="1"/>
    <col min="12821" max="12821" width="8.85546875" style="73" customWidth="1"/>
    <col min="12822" max="12822" width="10" style="73" customWidth="1"/>
    <col min="12823" max="12823" width="8.28515625" style="73" customWidth="1"/>
    <col min="12824" max="12824" width="9.5703125" style="73" customWidth="1"/>
    <col min="12825" max="12825" width="15.5703125" style="73" customWidth="1"/>
    <col min="12826" max="13057" width="9.140625" style="73"/>
    <col min="13058" max="13058" width="6.85546875" style="73" customWidth="1"/>
    <col min="13059" max="13059" width="2.140625" style="73" customWidth="1"/>
    <col min="13060" max="13060" width="6.140625" style="73" customWidth="1"/>
    <col min="13061" max="13061" width="8.85546875" style="73" customWidth="1"/>
    <col min="13062" max="13062" width="28.42578125" style="73" customWidth="1"/>
    <col min="13063" max="13063" width="13.85546875" style="73" customWidth="1"/>
    <col min="13064" max="13064" width="8.42578125" style="73" customWidth="1"/>
    <col min="13065" max="13068" width="0" style="73" hidden="1" customWidth="1"/>
    <col min="13069" max="13069" width="5.28515625" style="73" customWidth="1"/>
    <col min="13070" max="13070" width="5.5703125" style="73" customWidth="1"/>
    <col min="13071" max="13071" width="6" style="73" customWidth="1"/>
    <col min="13072" max="13072" width="5.5703125" style="73" customWidth="1"/>
    <col min="13073" max="13074" width="5.7109375" style="73" customWidth="1"/>
    <col min="13075" max="13075" width="9.85546875" style="73" customWidth="1"/>
    <col min="13076" max="13076" width="9.7109375" style="73" customWidth="1"/>
    <col min="13077" max="13077" width="8.85546875" style="73" customWidth="1"/>
    <col min="13078" max="13078" width="10" style="73" customWidth="1"/>
    <col min="13079" max="13079" width="8.28515625" style="73" customWidth="1"/>
    <col min="13080" max="13080" width="9.5703125" style="73" customWidth="1"/>
    <col min="13081" max="13081" width="15.5703125" style="73" customWidth="1"/>
    <col min="13082" max="13313" width="9.140625" style="73"/>
    <col min="13314" max="13314" width="6.85546875" style="73" customWidth="1"/>
    <col min="13315" max="13315" width="2.140625" style="73" customWidth="1"/>
    <col min="13316" max="13316" width="6.140625" style="73" customWidth="1"/>
    <col min="13317" max="13317" width="8.85546875" style="73" customWidth="1"/>
    <col min="13318" max="13318" width="28.42578125" style="73" customWidth="1"/>
    <col min="13319" max="13319" width="13.85546875" style="73" customWidth="1"/>
    <col min="13320" max="13320" width="8.42578125" style="73" customWidth="1"/>
    <col min="13321" max="13324" width="0" style="73" hidden="1" customWidth="1"/>
    <col min="13325" max="13325" width="5.28515625" style="73" customWidth="1"/>
    <col min="13326" max="13326" width="5.5703125" style="73" customWidth="1"/>
    <col min="13327" max="13327" width="6" style="73" customWidth="1"/>
    <col min="13328" max="13328" width="5.5703125" style="73" customWidth="1"/>
    <col min="13329" max="13330" width="5.7109375" style="73" customWidth="1"/>
    <col min="13331" max="13331" width="9.85546875" style="73" customWidth="1"/>
    <col min="13332" max="13332" width="9.7109375" style="73" customWidth="1"/>
    <col min="13333" max="13333" width="8.85546875" style="73" customWidth="1"/>
    <col min="13334" max="13334" width="10" style="73" customWidth="1"/>
    <col min="13335" max="13335" width="8.28515625" style="73" customWidth="1"/>
    <col min="13336" max="13336" width="9.5703125" style="73" customWidth="1"/>
    <col min="13337" max="13337" width="15.5703125" style="73" customWidth="1"/>
    <col min="13338" max="13569" width="9.140625" style="73"/>
    <col min="13570" max="13570" width="6.85546875" style="73" customWidth="1"/>
    <col min="13571" max="13571" width="2.140625" style="73" customWidth="1"/>
    <col min="13572" max="13572" width="6.140625" style="73" customWidth="1"/>
    <col min="13573" max="13573" width="8.85546875" style="73" customWidth="1"/>
    <col min="13574" max="13574" width="28.42578125" style="73" customWidth="1"/>
    <col min="13575" max="13575" width="13.85546875" style="73" customWidth="1"/>
    <col min="13576" max="13576" width="8.42578125" style="73" customWidth="1"/>
    <col min="13577" max="13580" width="0" style="73" hidden="1" customWidth="1"/>
    <col min="13581" max="13581" width="5.28515625" style="73" customWidth="1"/>
    <col min="13582" max="13582" width="5.5703125" style="73" customWidth="1"/>
    <col min="13583" max="13583" width="6" style="73" customWidth="1"/>
    <col min="13584" max="13584" width="5.5703125" style="73" customWidth="1"/>
    <col min="13585" max="13586" width="5.7109375" style="73" customWidth="1"/>
    <col min="13587" max="13587" width="9.85546875" style="73" customWidth="1"/>
    <col min="13588" max="13588" width="9.7109375" style="73" customWidth="1"/>
    <col min="13589" max="13589" width="8.85546875" style="73" customWidth="1"/>
    <col min="13590" max="13590" width="10" style="73" customWidth="1"/>
    <col min="13591" max="13591" width="8.28515625" style="73" customWidth="1"/>
    <col min="13592" max="13592" width="9.5703125" style="73" customWidth="1"/>
    <col min="13593" max="13593" width="15.5703125" style="73" customWidth="1"/>
    <col min="13594" max="13825" width="9.140625" style="73"/>
    <col min="13826" max="13826" width="6.85546875" style="73" customWidth="1"/>
    <col min="13827" max="13827" width="2.140625" style="73" customWidth="1"/>
    <col min="13828" max="13828" width="6.140625" style="73" customWidth="1"/>
    <col min="13829" max="13829" width="8.85546875" style="73" customWidth="1"/>
    <col min="13830" max="13830" width="28.42578125" style="73" customWidth="1"/>
    <col min="13831" max="13831" width="13.85546875" style="73" customWidth="1"/>
    <col min="13832" max="13832" width="8.42578125" style="73" customWidth="1"/>
    <col min="13833" max="13836" width="0" style="73" hidden="1" customWidth="1"/>
    <col min="13837" max="13837" width="5.28515625" style="73" customWidth="1"/>
    <col min="13838" max="13838" width="5.5703125" style="73" customWidth="1"/>
    <col min="13839" max="13839" width="6" style="73" customWidth="1"/>
    <col min="13840" max="13840" width="5.5703125" style="73" customWidth="1"/>
    <col min="13841" max="13842" width="5.7109375" style="73" customWidth="1"/>
    <col min="13843" max="13843" width="9.85546875" style="73" customWidth="1"/>
    <col min="13844" max="13844" width="9.7109375" style="73" customWidth="1"/>
    <col min="13845" max="13845" width="8.85546875" style="73" customWidth="1"/>
    <col min="13846" max="13846" width="10" style="73" customWidth="1"/>
    <col min="13847" max="13847" width="8.28515625" style="73" customWidth="1"/>
    <col min="13848" max="13848" width="9.5703125" style="73" customWidth="1"/>
    <col min="13849" max="13849" width="15.5703125" style="73" customWidth="1"/>
    <col min="13850" max="14081" width="9.140625" style="73"/>
    <col min="14082" max="14082" width="6.85546875" style="73" customWidth="1"/>
    <col min="14083" max="14083" width="2.140625" style="73" customWidth="1"/>
    <col min="14084" max="14084" width="6.140625" style="73" customWidth="1"/>
    <col min="14085" max="14085" width="8.85546875" style="73" customWidth="1"/>
    <col min="14086" max="14086" width="28.42578125" style="73" customWidth="1"/>
    <col min="14087" max="14087" width="13.85546875" style="73" customWidth="1"/>
    <col min="14088" max="14088" width="8.42578125" style="73" customWidth="1"/>
    <col min="14089" max="14092" width="0" style="73" hidden="1" customWidth="1"/>
    <col min="14093" max="14093" width="5.28515625" style="73" customWidth="1"/>
    <col min="14094" max="14094" width="5.5703125" style="73" customWidth="1"/>
    <col min="14095" max="14095" width="6" style="73" customWidth="1"/>
    <col min="14096" max="14096" width="5.5703125" style="73" customWidth="1"/>
    <col min="14097" max="14098" width="5.7109375" style="73" customWidth="1"/>
    <col min="14099" max="14099" width="9.85546875" style="73" customWidth="1"/>
    <col min="14100" max="14100" width="9.7109375" style="73" customWidth="1"/>
    <col min="14101" max="14101" width="8.85546875" style="73" customWidth="1"/>
    <col min="14102" max="14102" width="10" style="73" customWidth="1"/>
    <col min="14103" max="14103" width="8.28515625" style="73" customWidth="1"/>
    <col min="14104" max="14104" width="9.5703125" style="73" customWidth="1"/>
    <col min="14105" max="14105" width="15.5703125" style="73" customWidth="1"/>
    <col min="14106" max="14337" width="9.140625" style="73"/>
    <col min="14338" max="14338" width="6.85546875" style="73" customWidth="1"/>
    <col min="14339" max="14339" width="2.140625" style="73" customWidth="1"/>
    <col min="14340" max="14340" width="6.140625" style="73" customWidth="1"/>
    <col min="14341" max="14341" width="8.85546875" style="73" customWidth="1"/>
    <col min="14342" max="14342" width="28.42578125" style="73" customWidth="1"/>
    <col min="14343" max="14343" width="13.85546875" style="73" customWidth="1"/>
    <col min="14344" max="14344" width="8.42578125" style="73" customWidth="1"/>
    <col min="14345" max="14348" width="0" style="73" hidden="1" customWidth="1"/>
    <col min="14349" max="14349" width="5.28515625" style="73" customWidth="1"/>
    <col min="14350" max="14350" width="5.5703125" style="73" customWidth="1"/>
    <col min="14351" max="14351" width="6" style="73" customWidth="1"/>
    <col min="14352" max="14352" width="5.5703125" style="73" customWidth="1"/>
    <col min="14353" max="14354" width="5.7109375" style="73" customWidth="1"/>
    <col min="14355" max="14355" width="9.85546875" style="73" customWidth="1"/>
    <col min="14356" max="14356" width="9.7109375" style="73" customWidth="1"/>
    <col min="14357" max="14357" width="8.85546875" style="73" customWidth="1"/>
    <col min="14358" max="14358" width="10" style="73" customWidth="1"/>
    <col min="14359" max="14359" width="8.28515625" style="73" customWidth="1"/>
    <col min="14360" max="14360" width="9.5703125" style="73" customWidth="1"/>
    <col min="14361" max="14361" width="15.5703125" style="73" customWidth="1"/>
    <col min="14362" max="14593" width="9.140625" style="73"/>
    <col min="14594" max="14594" width="6.85546875" style="73" customWidth="1"/>
    <col min="14595" max="14595" width="2.140625" style="73" customWidth="1"/>
    <col min="14596" max="14596" width="6.140625" style="73" customWidth="1"/>
    <col min="14597" max="14597" width="8.85546875" style="73" customWidth="1"/>
    <col min="14598" max="14598" width="28.42578125" style="73" customWidth="1"/>
    <col min="14599" max="14599" width="13.85546875" style="73" customWidth="1"/>
    <col min="14600" max="14600" width="8.42578125" style="73" customWidth="1"/>
    <col min="14601" max="14604" width="0" style="73" hidden="1" customWidth="1"/>
    <col min="14605" max="14605" width="5.28515625" style="73" customWidth="1"/>
    <col min="14606" max="14606" width="5.5703125" style="73" customWidth="1"/>
    <col min="14607" max="14607" width="6" style="73" customWidth="1"/>
    <col min="14608" max="14608" width="5.5703125" style="73" customWidth="1"/>
    <col min="14609" max="14610" width="5.7109375" style="73" customWidth="1"/>
    <col min="14611" max="14611" width="9.85546875" style="73" customWidth="1"/>
    <col min="14612" max="14612" width="9.7109375" style="73" customWidth="1"/>
    <col min="14613" max="14613" width="8.85546875" style="73" customWidth="1"/>
    <col min="14614" max="14614" width="10" style="73" customWidth="1"/>
    <col min="14615" max="14615" width="8.28515625" style="73" customWidth="1"/>
    <col min="14616" max="14616" width="9.5703125" style="73" customWidth="1"/>
    <col min="14617" max="14617" width="15.5703125" style="73" customWidth="1"/>
    <col min="14618" max="14849" width="9.140625" style="73"/>
    <col min="14850" max="14850" width="6.85546875" style="73" customWidth="1"/>
    <col min="14851" max="14851" width="2.140625" style="73" customWidth="1"/>
    <col min="14852" max="14852" width="6.140625" style="73" customWidth="1"/>
    <col min="14853" max="14853" width="8.85546875" style="73" customWidth="1"/>
    <col min="14854" max="14854" width="28.42578125" style="73" customWidth="1"/>
    <col min="14855" max="14855" width="13.85546875" style="73" customWidth="1"/>
    <col min="14856" max="14856" width="8.42578125" style="73" customWidth="1"/>
    <col min="14857" max="14860" width="0" style="73" hidden="1" customWidth="1"/>
    <col min="14861" max="14861" width="5.28515625" style="73" customWidth="1"/>
    <col min="14862" max="14862" width="5.5703125" style="73" customWidth="1"/>
    <col min="14863" max="14863" width="6" style="73" customWidth="1"/>
    <col min="14864" max="14864" width="5.5703125" style="73" customWidth="1"/>
    <col min="14865" max="14866" width="5.7109375" style="73" customWidth="1"/>
    <col min="14867" max="14867" width="9.85546875" style="73" customWidth="1"/>
    <col min="14868" max="14868" width="9.7109375" style="73" customWidth="1"/>
    <col min="14869" max="14869" width="8.85546875" style="73" customWidth="1"/>
    <col min="14870" max="14870" width="10" style="73" customWidth="1"/>
    <col min="14871" max="14871" width="8.28515625" style="73" customWidth="1"/>
    <col min="14872" max="14872" width="9.5703125" style="73" customWidth="1"/>
    <col min="14873" max="14873" width="15.5703125" style="73" customWidth="1"/>
    <col min="14874" max="15105" width="9.140625" style="73"/>
    <col min="15106" max="15106" width="6.85546875" style="73" customWidth="1"/>
    <col min="15107" max="15107" width="2.140625" style="73" customWidth="1"/>
    <col min="15108" max="15108" width="6.140625" style="73" customWidth="1"/>
    <col min="15109" max="15109" width="8.85546875" style="73" customWidth="1"/>
    <col min="15110" max="15110" width="28.42578125" style="73" customWidth="1"/>
    <col min="15111" max="15111" width="13.85546875" style="73" customWidth="1"/>
    <col min="15112" max="15112" width="8.42578125" style="73" customWidth="1"/>
    <col min="15113" max="15116" width="0" style="73" hidden="1" customWidth="1"/>
    <col min="15117" max="15117" width="5.28515625" style="73" customWidth="1"/>
    <col min="15118" max="15118" width="5.5703125" style="73" customWidth="1"/>
    <col min="15119" max="15119" width="6" style="73" customWidth="1"/>
    <col min="15120" max="15120" width="5.5703125" style="73" customWidth="1"/>
    <col min="15121" max="15122" width="5.7109375" style="73" customWidth="1"/>
    <col min="15123" max="15123" width="9.85546875" style="73" customWidth="1"/>
    <col min="15124" max="15124" width="9.7109375" style="73" customWidth="1"/>
    <col min="15125" max="15125" width="8.85546875" style="73" customWidth="1"/>
    <col min="15126" max="15126" width="10" style="73" customWidth="1"/>
    <col min="15127" max="15127" width="8.28515625" style="73" customWidth="1"/>
    <col min="15128" max="15128" width="9.5703125" style="73" customWidth="1"/>
    <col min="15129" max="15129" width="15.5703125" style="73" customWidth="1"/>
    <col min="15130" max="15361" width="9.140625" style="73"/>
    <col min="15362" max="15362" width="6.85546875" style="73" customWidth="1"/>
    <col min="15363" max="15363" width="2.140625" style="73" customWidth="1"/>
    <col min="15364" max="15364" width="6.140625" style="73" customWidth="1"/>
    <col min="15365" max="15365" width="8.85546875" style="73" customWidth="1"/>
    <col min="15366" max="15366" width="28.42578125" style="73" customWidth="1"/>
    <col min="15367" max="15367" width="13.85546875" style="73" customWidth="1"/>
    <col min="15368" max="15368" width="8.42578125" style="73" customWidth="1"/>
    <col min="15369" max="15372" width="0" style="73" hidden="1" customWidth="1"/>
    <col min="15373" max="15373" width="5.28515625" style="73" customWidth="1"/>
    <col min="15374" max="15374" width="5.5703125" style="73" customWidth="1"/>
    <col min="15375" max="15375" width="6" style="73" customWidth="1"/>
    <col min="15376" max="15376" width="5.5703125" style="73" customWidth="1"/>
    <col min="15377" max="15378" width="5.7109375" style="73" customWidth="1"/>
    <col min="15379" max="15379" width="9.85546875" style="73" customWidth="1"/>
    <col min="15380" max="15380" width="9.7109375" style="73" customWidth="1"/>
    <col min="15381" max="15381" width="8.85546875" style="73" customWidth="1"/>
    <col min="15382" max="15382" width="10" style="73" customWidth="1"/>
    <col min="15383" max="15383" width="8.28515625" style="73" customWidth="1"/>
    <col min="15384" max="15384" width="9.5703125" style="73" customWidth="1"/>
    <col min="15385" max="15385" width="15.5703125" style="73" customWidth="1"/>
    <col min="15386" max="15617" width="9.140625" style="73"/>
    <col min="15618" max="15618" width="6.85546875" style="73" customWidth="1"/>
    <col min="15619" max="15619" width="2.140625" style="73" customWidth="1"/>
    <col min="15620" max="15620" width="6.140625" style="73" customWidth="1"/>
    <col min="15621" max="15621" width="8.85546875" style="73" customWidth="1"/>
    <col min="15622" max="15622" width="28.42578125" style="73" customWidth="1"/>
    <col min="15623" max="15623" width="13.85546875" style="73" customWidth="1"/>
    <col min="15624" max="15624" width="8.42578125" style="73" customWidth="1"/>
    <col min="15625" max="15628" width="0" style="73" hidden="1" customWidth="1"/>
    <col min="15629" max="15629" width="5.28515625" style="73" customWidth="1"/>
    <col min="15630" max="15630" width="5.5703125" style="73" customWidth="1"/>
    <col min="15631" max="15631" width="6" style="73" customWidth="1"/>
    <col min="15632" max="15632" width="5.5703125" style="73" customWidth="1"/>
    <col min="15633" max="15634" width="5.7109375" style="73" customWidth="1"/>
    <col min="15635" max="15635" width="9.85546875" style="73" customWidth="1"/>
    <col min="15636" max="15636" width="9.7109375" style="73" customWidth="1"/>
    <col min="15637" max="15637" width="8.85546875" style="73" customWidth="1"/>
    <col min="15638" max="15638" width="10" style="73" customWidth="1"/>
    <col min="15639" max="15639" width="8.28515625" style="73" customWidth="1"/>
    <col min="15640" max="15640" width="9.5703125" style="73" customWidth="1"/>
    <col min="15641" max="15641" width="15.5703125" style="73" customWidth="1"/>
    <col min="15642" max="15873" width="9.140625" style="73"/>
    <col min="15874" max="15874" width="6.85546875" style="73" customWidth="1"/>
    <col min="15875" max="15875" width="2.140625" style="73" customWidth="1"/>
    <col min="15876" max="15876" width="6.140625" style="73" customWidth="1"/>
    <col min="15877" max="15877" width="8.85546875" style="73" customWidth="1"/>
    <col min="15878" max="15878" width="28.42578125" style="73" customWidth="1"/>
    <col min="15879" max="15879" width="13.85546875" style="73" customWidth="1"/>
    <col min="15880" max="15880" width="8.42578125" style="73" customWidth="1"/>
    <col min="15881" max="15884" width="0" style="73" hidden="1" customWidth="1"/>
    <col min="15885" max="15885" width="5.28515625" style="73" customWidth="1"/>
    <col min="15886" max="15886" width="5.5703125" style="73" customWidth="1"/>
    <col min="15887" max="15887" width="6" style="73" customWidth="1"/>
    <col min="15888" max="15888" width="5.5703125" style="73" customWidth="1"/>
    <col min="15889" max="15890" width="5.7109375" style="73" customWidth="1"/>
    <col min="15891" max="15891" width="9.85546875" style="73" customWidth="1"/>
    <col min="15892" max="15892" width="9.7109375" style="73" customWidth="1"/>
    <col min="15893" max="15893" width="8.85546875" style="73" customWidth="1"/>
    <col min="15894" max="15894" width="10" style="73" customWidth="1"/>
    <col min="15895" max="15895" width="8.28515625" style="73" customWidth="1"/>
    <col min="15896" max="15896" width="9.5703125" style="73" customWidth="1"/>
    <col min="15897" max="15897" width="15.5703125" style="73" customWidth="1"/>
    <col min="15898" max="16129" width="9.140625" style="73"/>
    <col min="16130" max="16130" width="6.85546875" style="73" customWidth="1"/>
    <col min="16131" max="16131" width="2.140625" style="73" customWidth="1"/>
    <col min="16132" max="16132" width="6.140625" style="73" customWidth="1"/>
    <col min="16133" max="16133" width="8.85546875" style="73" customWidth="1"/>
    <col min="16134" max="16134" width="28.42578125" style="73" customWidth="1"/>
    <col min="16135" max="16135" width="13.85546875" style="73" customWidth="1"/>
    <col min="16136" max="16136" width="8.42578125" style="73" customWidth="1"/>
    <col min="16137" max="16140" width="0" style="73" hidden="1" customWidth="1"/>
    <col min="16141" max="16141" width="5.28515625" style="73" customWidth="1"/>
    <col min="16142" max="16142" width="5.5703125" style="73" customWidth="1"/>
    <col min="16143" max="16143" width="6" style="73" customWidth="1"/>
    <col min="16144" max="16144" width="5.5703125" style="73" customWidth="1"/>
    <col min="16145" max="16146" width="5.7109375" style="73" customWidth="1"/>
    <col min="16147" max="16147" width="9.85546875" style="73" customWidth="1"/>
    <col min="16148" max="16148" width="9.7109375" style="73" customWidth="1"/>
    <col min="16149" max="16149" width="8.85546875" style="73" customWidth="1"/>
    <col min="16150" max="16150" width="10" style="73" customWidth="1"/>
    <col min="16151" max="16151" width="8.28515625" style="73" customWidth="1"/>
    <col min="16152" max="16152" width="9.5703125" style="73" customWidth="1"/>
    <col min="16153" max="16153" width="15.5703125" style="73" customWidth="1"/>
    <col min="16154" max="16384" width="9.140625" style="73"/>
  </cols>
  <sheetData>
    <row r="1" spans="1:37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  <c r="AD1" s="1"/>
      <c r="AE1" s="1"/>
      <c r="AF1" s="1"/>
      <c r="AG1" s="1"/>
    </row>
    <row r="2" spans="1:37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  <c r="AD2" s="2"/>
      <c r="AE2" s="2"/>
      <c r="AF2" s="2"/>
      <c r="AG2" s="2"/>
    </row>
    <row r="3" spans="1:37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  <c r="AD3" s="2"/>
      <c r="AE3" s="2"/>
      <c r="AF3" s="2"/>
      <c r="AG3" s="2"/>
    </row>
    <row r="4" spans="1:37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7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7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  <c r="AD6" s="4"/>
      <c r="AE6" s="4"/>
      <c r="AF6" s="4"/>
    </row>
    <row r="7" spans="1:37" s="6" customFormat="1" ht="18.75" customHeight="1">
      <c r="A7" s="5" t="s">
        <v>6</v>
      </c>
      <c r="C7" s="7"/>
      <c r="D7" s="7" t="s">
        <v>69</v>
      </c>
      <c r="E7" s="7"/>
      <c r="F7" s="7"/>
      <c r="G7" s="5"/>
    </row>
    <row r="8" spans="1:37" s="8" customFormat="1" ht="18.75" customHeight="1">
      <c r="A8" s="5" t="s">
        <v>7</v>
      </c>
      <c r="C8" s="9"/>
      <c r="D8" s="10">
        <v>4500457758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7" s="8" customFormat="1" ht="18.75" customHeight="1">
      <c r="A9" s="12"/>
      <c r="C9" s="81"/>
      <c r="D9" s="13" t="s">
        <v>70</v>
      </c>
      <c r="E9" s="13"/>
      <c r="F9" s="14"/>
      <c r="G9" s="10" t="s">
        <v>46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E9" s="6"/>
      <c r="AF9" s="6"/>
      <c r="AG9" s="6"/>
      <c r="AH9" s="6"/>
      <c r="AI9" s="6"/>
      <c r="AJ9" s="6"/>
      <c r="AK9" s="6"/>
    </row>
    <row r="10" spans="1:37" s="8" customFormat="1" ht="18.75" customHeight="1">
      <c r="A10" s="12"/>
      <c r="C10" s="81"/>
      <c r="D10" s="334" t="s">
        <v>71</v>
      </c>
      <c r="E10" s="334"/>
      <c r="F10" s="334"/>
      <c r="G10" s="33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AA10" s="6"/>
      <c r="AB10" s="6"/>
      <c r="AC10" s="6"/>
      <c r="AE10" s="6"/>
      <c r="AF10" s="6"/>
      <c r="AG10" s="6"/>
      <c r="AH10" s="6"/>
      <c r="AI10" s="6"/>
      <c r="AJ10" s="6"/>
      <c r="AK10" s="6"/>
    </row>
    <row r="11" spans="1:37" s="8" customFormat="1" ht="18.75" customHeight="1">
      <c r="A11" s="12"/>
      <c r="C11" s="81"/>
      <c r="D11" s="16"/>
      <c r="E11" s="16"/>
      <c r="F11" s="14"/>
      <c r="G11" s="10"/>
      <c r="H11" s="7" t="s">
        <v>51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 t="s">
        <v>101</v>
      </c>
      <c r="T11" s="6"/>
      <c r="U11" s="6"/>
      <c r="V11" s="6"/>
      <c r="W11" s="6"/>
    </row>
    <row r="12" spans="1:37" s="8" customFormat="1" ht="18.75" customHeight="1" thickBot="1">
      <c r="A12" s="12" t="s">
        <v>9</v>
      </c>
      <c r="C12" s="250">
        <f>+T23</f>
        <v>1200</v>
      </c>
      <c r="D12" s="250"/>
      <c r="E12" s="81"/>
      <c r="F12" s="14"/>
      <c r="G12" s="10"/>
      <c r="H12" s="9" t="s">
        <v>100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8" t="str">
        <f>+D9</f>
        <v>BI STRETCH GRID PANT -HUSKY</v>
      </c>
      <c r="T12" s="19"/>
      <c r="U12" s="19"/>
      <c r="V12" s="19"/>
      <c r="W12" s="19"/>
    </row>
    <row r="13" spans="1:37" s="22" customFormat="1" ht="22.5" customHeight="1" thickBot="1">
      <c r="A13" s="251" t="s">
        <v>11</v>
      </c>
      <c r="B13" s="252"/>
      <c r="C13" s="253"/>
      <c r="D13" s="260" t="s">
        <v>65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0"/>
      <c r="Q13" s="230"/>
      <c r="R13" s="231"/>
      <c r="S13" s="232" t="s">
        <v>66</v>
      </c>
      <c r="T13" s="235" t="s">
        <v>19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25</v>
      </c>
      <c r="AA13" s="239"/>
      <c r="AB13" s="240"/>
      <c r="AC13" s="224" t="s">
        <v>26</v>
      </c>
      <c r="AD13" s="224" t="s">
        <v>52</v>
      </c>
    </row>
    <row r="14" spans="1:37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 t="s">
        <v>58</v>
      </c>
      <c r="J14" s="227" t="s">
        <v>59</v>
      </c>
      <c r="K14" s="227" t="s">
        <v>60</v>
      </c>
      <c r="L14" s="227" t="s">
        <v>61</v>
      </c>
      <c r="M14" s="227" t="s">
        <v>62</v>
      </c>
      <c r="N14" s="227" t="s">
        <v>63</v>
      </c>
      <c r="O14" s="227" t="s">
        <v>64</v>
      </c>
      <c r="P14" s="215" t="s">
        <v>53</v>
      </c>
      <c r="Q14" s="217" t="s">
        <v>27</v>
      </c>
      <c r="R14" s="211" t="s">
        <v>28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  <c r="AD14" s="225"/>
    </row>
    <row r="15" spans="1:37" s="22" customFormat="1" ht="24" customHeight="1" thickBot="1">
      <c r="A15" s="257"/>
      <c r="B15" s="258"/>
      <c r="C15" s="259"/>
      <c r="D15" s="262"/>
      <c r="E15" s="262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6"/>
      <c r="Q15" s="218"/>
      <c r="R15" s="212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26" t="s">
        <v>4</v>
      </c>
      <c r="AA15" s="26" t="s">
        <v>30</v>
      </c>
      <c r="AB15" s="26" t="s">
        <v>31</v>
      </c>
      <c r="AC15" s="226"/>
      <c r="AD15" s="226"/>
    </row>
    <row r="16" spans="1:37" s="42" customFormat="1" ht="27.75" customHeight="1">
      <c r="A16" s="87">
        <v>1</v>
      </c>
      <c r="B16" s="88" t="s">
        <v>32</v>
      </c>
      <c r="C16" s="87">
        <f t="shared" ref="C16:C22" si="0">+A16+D16-1</f>
        <v>2</v>
      </c>
      <c r="D16" s="29">
        <f t="shared" ref="D16:D22" si="1">+T16/S16</f>
        <v>2</v>
      </c>
      <c r="E16" s="85" t="s">
        <v>86</v>
      </c>
      <c r="F16" s="28" t="str">
        <f>+D7</f>
        <v>361044K-404-PC</v>
      </c>
      <c r="G16" s="28" t="s">
        <v>48</v>
      </c>
      <c r="H16" s="30">
        <f>+D8</f>
        <v>4500457758</v>
      </c>
      <c r="I16" s="31">
        <v>24</v>
      </c>
      <c r="J16" s="31"/>
      <c r="K16" s="31"/>
      <c r="L16" s="31"/>
      <c r="M16" s="31"/>
      <c r="N16" s="31"/>
      <c r="O16" s="31"/>
      <c r="P16" s="30"/>
      <c r="Q16" s="30"/>
      <c r="R16" s="30"/>
      <c r="S16" s="28">
        <f t="shared" ref="S16:S22" si="2">+SUM(I16:O16)</f>
        <v>24</v>
      </c>
      <c r="T16" s="28">
        <v>48</v>
      </c>
      <c r="U16" s="32">
        <f t="shared" ref="U16:V20" si="3">+U17-0.2</f>
        <v>0.75000000000000022</v>
      </c>
      <c r="V16" s="32">
        <f t="shared" si="3"/>
        <v>0.80000000000000027</v>
      </c>
      <c r="W16" s="33">
        <f t="shared" ref="W16:W22" si="4">+U16*D16</f>
        <v>1.5000000000000004</v>
      </c>
      <c r="X16" s="34">
        <f t="shared" ref="X16:X22" si="5">+V16*D16</f>
        <v>1.6000000000000005</v>
      </c>
      <c r="Y16" s="82">
        <f>+ROUND(D16*Z16*AA16*AB16/1000000,3)</f>
        <v>0.13100000000000001</v>
      </c>
      <c r="Z16" s="37">
        <v>62</v>
      </c>
      <c r="AA16" s="38">
        <v>31</v>
      </c>
      <c r="AB16" s="37">
        <v>34</v>
      </c>
      <c r="AC16" s="92" t="s">
        <v>102</v>
      </c>
      <c r="AD16" s="89" t="s">
        <v>67</v>
      </c>
      <c r="AE16" s="39" t="e">
        <f>+RIGHT((#REF!),6)</f>
        <v>#REF!</v>
      </c>
      <c r="AF16" s="40" t="e">
        <f>+AE16-D16+1</f>
        <v>#REF!</v>
      </c>
      <c r="AG16" s="41" t="e">
        <f>+AE16-AF16+1</f>
        <v>#REF!</v>
      </c>
      <c r="AH16" s="41" t="e">
        <f>+AG16-D16</f>
        <v>#REF!</v>
      </c>
    </row>
    <row r="17" spans="1:35" s="42" customFormat="1" ht="27.75" customHeight="1">
      <c r="A17" s="27">
        <f>+C16+1</f>
        <v>3</v>
      </c>
      <c r="B17" s="28" t="s">
        <v>32</v>
      </c>
      <c r="C17" s="27">
        <f t="shared" si="0"/>
        <v>9</v>
      </c>
      <c r="D17" s="29">
        <f t="shared" si="1"/>
        <v>7</v>
      </c>
      <c r="E17" s="85" t="s">
        <v>87</v>
      </c>
      <c r="F17" s="28" t="str">
        <f>+F16</f>
        <v>361044K-404-PC</v>
      </c>
      <c r="G17" s="28" t="str">
        <f>+G16</f>
        <v>404 BANK BLUE</v>
      </c>
      <c r="H17" s="30">
        <f>+H16</f>
        <v>4500457758</v>
      </c>
      <c r="I17" s="31"/>
      <c r="J17" s="31">
        <v>24</v>
      </c>
      <c r="K17" s="31"/>
      <c r="L17" s="31"/>
      <c r="M17" s="31"/>
      <c r="N17" s="31"/>
      <c r="O17" s="31"/>
      <c r="P17" s="30"/>
      <c r="Q17" s="30"/>
      <c r="R17" s="30"/>
      <c r="S17" s="28">
        <f t="shared" si="2"/>
        <v>24</v>
      </c>
      <c r="T17" s="28">
        <v>168</v>
      </c>
      <c r="U17" s="32">
        <f t="shared" si="3"/>
        <v>0.95000000000000018</v>
      </c>
      <c r="V17" s="32">
        <f t="shared" si="3"/>
        <v>1.0000000000000002</v>
      </c>
      <c r="W17" s="33">
        <f t="shared" si="4"/>
        <v>6.6500000000000012</v>
      </c>
      <c r="X17" s="34">
        <f t="shared" si="5"/>
        <v>7.0000000000000018</v>
      </c>
      <c r="Y17" s="82">
        <f t="shared" ref="Y17:Y22" si="6">+ROUND(D17*Z17*AA17*AB17/1000000,3)</f>
        <v>0.45700000000000002</v>
      </c>
      <c r="Z17" s="37">
        <v>62</v>
      </c>
      <c r="AA17" s="38">
        <v>31</v>
      </c>
      <c r="AB17" s="37">
        <v>34</v>
      </c>
      <c r="AC17" s="93" t="s">
        <v>102</v>
      </c>
      <c r="AD17" s="89" t="str">
        <f>+AD16</f>
        <v>JCR</v>
      </c>
      <c r="AE17" s="36"/>
      <c r="AF17" s="39" t="e">
        <f>+RIGHT((#REF!),6)</f>
        <v>#REF!</v>
      </c>
      <c r="AG17" s="40" t="e">
        <f>+AF17-D17+1</f>
        <v>#REF!</v>
      </c>
      <c r="AH17" s="41" t="e">
        <f>+AF17-AG17+1</f>
        <v>#REF!</v>
      </c>
      <c r="AI17" s="41" t="e">
        <f>+AH17-D17</f>
        <v>#REF!</v>
      </c>
    </row>
    <row r="18" spans="1:35" s="42" customFormat="1" ht="27.75" customHeight="1">
      <c r="A18" s="27">
        <f t="shared" ref="A18:A22" si="7">+C17+1</f>
        <v>10</v>
      </c>
      <c r="B18" s="88" t="s">
        <v>32</v>
      </c>
      <c r="C18" s="27">
        <f t="shared" si="0"/>
        <v>16</v>
      </c>
      <c r="D18" s="29">
        <f t="shared" si="1"/>
        <v>7</v>
      </c>
      <c r="E18" s="85" t="s">
        <v>88</v>
      </c>
      <c r="F18" s="28" t="str">
        <f t="shared" ref="F18:H22" si="8">+F17</f>
        <v>361044K-404-PC</v>
      </c>
      <c r="G18" s="28" t="str">
        <f t="shared" si="8"/>
        <v>404 BANK BLUE</v>
      </c>
      <c r="H18" s="30">
        <f t="shared" si="8"/>
        <v>4500457758</v>
      </c>
      <c r="I18" s="31"/>
      <c r="J18" s="31"/>
      <c r="K18" s="31">
        <v>24</v>
      </c>
      <c r="L18" s="31"/>
      <c r="M18" s="31"/>
      <c r="N18" s="31"/>
      <c r="O18" s="31"/>
      <c r="P18" s="30"/>
      <c r="Q18" s="30"/>
      <c r="R18" s="30"/>
      <c r="S18" s="28">
        <f t="shared" si="2"/>
        <v>24</v>
      </c>
      <c r="T18" s="28">
        <v>168</v>
      </c>
      <c r="U18" s="32">
        <f t="shared" si="3"/>
        <v>1.1500000000000001</v>
      </c>
      <c r="V18" s="32">
        <f t="shared" si="3"/>
        <v>1.2000000000000002</v>
      </c>
      <c r="W18" s="33">
        <f t="shared" si="4"/>
        <v>8.0500000000000007</v>
      </c>
      <c r="X18" s="34">
        <f t="shared" si="5"/>
        <v>8.4000000000000021</v>
      </c>
      <c r="Y18" s="82">
        <f t="shared" si="6"/>
        <v>0.45700000000000002</v>
      </c>
      <c r="Z18" s="37">
        <v>62</v>
      </c>
      <c r="AA18" s="38">
        <v>31</v>
      </c>
      <c r="AB18" s="37">
        <v>34</v>
      </c>
      <c r="AC18" s="92" t="s">
        <v>102</v>
      </c>
      <c r="AD18" s="89" t="str">
        <f t="shared" ref="AD18:AD22" si="9">+AD17</f>
        <v>JCR</v>
      </c>
      <c r="AE18" s="39" t="e">
        <f>+RIGHT((#REF!),6)</f>
        <v>#REF!</v>
      </c>
      <c r="AF18" s="40" t="e">
        <f>+AE18-D18+1</f>
        <v>#REF!</v>
      </c>
      <c r="AG18" s="41" t="e">
        <f>+AE18-AF18+1</f>
        <v>#REF!</v>
      </c>
      <c r="AH18" s="41" t="e">
        <f>+AG18-D18</f>
        <v>#REF!</v>
      </c>
    </row>
    <row r="19" spans="1:35" s="42" customFormat="1" ht="27.75" customHeight="1">
      <c r="A19" s="27">
        <f t="shared" si="7"/>
        <v>17</v>
      </c>
      <c r="B19" s="28" t="s">
        <v>32</v>
      </c>
      <c r="C19" s="27">
        <f t="shared" si="0"/>
        <v>24</v>
      </c>
      <c r="D19" s="29">
        <f t="shared" si="1"/>
        <v>8</v>
      </c>
      <c r="E19" s="85" t="s">
        <v>89</v>
      </c>
      <c r="F19" s="28" t="str">
        <f t="shared" si="8"/>
        <v>361044K-404-PC</v>
      </c>
      <c r="G19" s="28" t="str">
        <f t="shared" si="8"/>
        <v>404 BANK BLUE</v>
      </c>
      <c r="H19" s="30">
        <f t="shared" si="8"/>
        <v>4500457758</v>
      </c>
      <c r="I19" s="31"/>
      <c r="J19" s="31"/>
      <c r="K19" s="31"/>
      <c r="L19" s="31">
        <v>24</v>
      </c>
      <c r="M19" s="31"/>
      <c r="N19" s="31"/>
      <c r="O19" s="31"/>
      <c r="P19" s="30"/>
      <c r="Q19" s="30"/>
      <c r="R19" s="30"/>
      <c r="S19" s="28">
        <f t="shared" si="2"/>
        <v>24</v>
      </c>
      <c r="T19" s="28">
        <v>192</v>
      </c>
      <c r="U19" s="32">
        <f t="shared" si="3"/>
        <v>1.35</v>
      </c>
      <c r="V19" s="32">
        <f t="shared" si="3"/>
        <v>1.4000000000000001</v>
      </c>
      <c r="W19" s="33">
        <f t="shared" si="4"/>
        <v>10.8</v>
      </c>
      <c r="X19" s="34">
        <f t="shared" si="5"/>
        <v>11.200000000000001</v>
      </c>
      <c r="Y19" s="82">
        <f t="shared" si="6"/>
        <v>0.63700000000000001</v>
      </c>
      <c r="Z19" s="37">
        <v>71</v>
      </c>
      <c r="AA19" s="38">
        <v>33</v>
      </c>
      <c r="AB19" s="37">
        <v>34</v>
      </c>
      <c r="AC19" s="93" t="s">
        <v>103</v>
      </c>
      <c r="AD19" s="89" t="str">
        <f t="shared" si="9"/>
        <v>JCR</v>
      </c>
      <c r="AE19" s="36"/>
      <c r="AF19" s="39" t="e">
        <f>+RIGHT((#REF!),6)</f>
        <v>#REF!</v>
      </c>
      <c r="AG19" s="40" t="e">
        <f>+AF19-D19+1</f>
        <v>#REF!</v>
      </c>
      <c r="AH19" s="41" t="e">
        <f>+AF19-AG19+1</f>
        <v>#REF!</v>
      </c>
      <c r="AI19" s="41" t="e">
        <f>+AH19-D19</f>
        <v>#REF!</v>
      </c>
    </row>
    <row r="20" spans="1:35" s="42" customFormat="1" ht="27.75" customHeight="1">
      <c r="A20" s="27">
        <f t="shared" si="7"/>
        <v>25</v>
      </c>
      <c r="B20" s="28" t="s">
        <v>32</v>
      </c>
      <c r="C20" s="27">
        <f t="shared" si="0"/>
        <v>32</v>
      </c>
      <c r="D20" s="29">
        <f t="shared" si="1"/>
        <v>8</v>
      </c>
      <c r="E20" s="85" t="s">
        <v>90</v>
      </c>
      <c r="F20" s="28" t="str">
        <f t="shared" si="8"/>
        <v>361044K-404-PC</v>
      </c>
      <c r="G20" s="28" t="str">
        <f t="shared" si="8"/>
        <v>404 BANK BLUE</v>
      </c>
      <c r="H20" s="30">
        <f t="shared" si="8"/>
        <v>4500457758</v>
      </c>
      <c r="I20" s="31"/>
      <c r="J20" s="31"/>
      <c r="K20" s="31"/>
      <c r="L20" s="31"/>
      <c r="M20" s="31">
        <v>24</v>
      </c>
      <c r="N20" s="31"/>
      <c r="O20" s="31"/>
      <c r="P20" s="30"/>
      <c r="Q20" s="30"/>
      <c r="R20" s="30"/>
      <c r="S20" s="28">
        <f t="shared" si="2"/>
        <v>24</v>
      </c>
      <c r="T20" s="28">
        <v>192</v>
      </c>
      <c r="U20" s="32">
        <f t="shared" si="3"/>
        <v>1.55</v>
      </c>
      <c r="V20" s="32">
        <f t="shared" si="3"/>
        <v>1.6</v>
      </c>
      <c r="W20" s="33">
        <f t="shared" si="4"/>
        <v>12.4</v>
      </c>
      <c r="X20" s="34">
        <f t="shared" si="5"/>
        <v>12.8</v>
      </c>
      <c r="Y20" s="82">
        <f t="shared" si="6"/>
        <v>0.63700000000000001</v>
      </c>
      <c r="Z20" s="37">
        <v>71</v>
      </c>
      <c r="AA20" s="38">
        <v>33</v>
      </c>
      <c r="AB20" s="37">
        <v>34</v>
      </c>
      <c r="AC20" s="93" t="s">
        <v>103</v>
      </c>
      <c r="AD20" s="89" t="str">
        <f t="shared" si="9"/>
        <v>JCR</v>
      </c>
      <c r="AE20" s="36"/>
      <c r="AF20" s="39" t="e">
        <f>+RIGHT((#REF!),6)</f>
        <v>#REF!</v>
      </c>
      <c r="AG20" s="40" t="e">
        <f>+AF20-D20+1</f>
        <v>#REF!</v>
      </c>
      <c r="AH20" s="41" t="e">
        <f>+AF20-AG20+1</f>
        <v>#REF!</v>
      </c>
      <c r="AI20" s="41" t="e">
        <f>+AH20-D20</f>
        <v>#REF!</v>
      </c>
    </row>
    <row r="21" spans="1:35" s="42" customFormat="1" ht="27.75" customHeight="1">
      <c r="A21" s="27">
        <f t="shared" si="7"/>
        <v>33</v>
      </c>
      <c r="B21" s="88" t="s">
        <v>32</v>
      </c>
      <c r="C21" s="27">
        <f t="shared" si="0"/>
        <v>41</v>
      </c>
      <c r="D21" s="29">
        <f t="shared" si="1"/>
        <v>9</v>
      </c>
      <c r="E21" s="85" t="s">
        <v>91</v>
      </c>
      <c r="F21" s="28" t="str">
        <f t="shared" si="8"/>
        <v>361044K-404-PC</v>
      </c>
      <c r="G21" s="28" t="str">
        <f t="shared" si="8"/>
        <v>404 BANK BLUE</v>
      </c>
      <c r="H21" s="30">
        <f t="shared" si="8"/>
        <v>4500457758</v>
      </c>
      <c r="I21" s="31"/>
      <c r="J21" s="31"/>
      <c r="K21" s="31"/>
      <c r="L21" s="31"/>
      <c r="M21" s="31"/>
      <c r="N21" s="31">
        <v>24</v>
      </c>
      <c r="O21" s="31"/>
      <c r="P21" s="30"/>
      <c r="Q21" s="30"/>
      <c r="R21" s="30"/>
      <c r="S21" s="28">
        <f t="shared" si="2"/>
        <v>24</v>
      </c>
      <c r="T21" s="28">
        <v>216</v>
      </c>
      <c r="U21" s="32">
        <f>+U22-0.05</f>
        <v>1.75</v>
      </c>
      <c r="V21" s="32">
        <f>+V22-0.2</f>
        <v>1.8</v>
      </c>
      <c r="W21" s="33">
        <f t="shared" si="4"/>
        <v>15.75</v>
      </c>
      <c r="X21" s="34">
        <f t="shared" si="5"/>
        <v>16.2</v>
      </c>
      <c r="Y21" s="82">
        <f t="shared" si="6"/>
        <v>0.71699999999999997</v>
      </c>
      <c r="Z21" s="37">
        <v>71</v>
      </c>
      <c r="AA21" s="38">
        <v>33</v>
      </c>
      <c r="AB21" s="37">
        <v>34</v>
      </c>
      <c r="AC21" s="92" t="s">
        <v>103</v>
      </c>
      <c r="AD21" s="89" t="str">
        <f t="shared" si="9"/>
        <v>JCR</v>
      </c>
      <c r="AE21" s="39" t="str">
        <f>+RIGHT((E1:E21),6)</f>
        <v>172385</v>
      </c>
      <c r="AF21" s="40">
        <f>+AE21-D21+1</f>
        <v>172377</v>
      </c>
      <c r="AG21" s="41">
        <f>+AE21-AF21+1</f>
        <v>9</v>
      </c>
      <c r="AH21" s="41">
        <f>+AG21-D21</f>
        <v>0</v>
      </c>
    </row>
    <row r="22" spans="1:35" s="42" customFormat="1" ht="27.75" customHeight="1">
      <c r="A22" s="27">
        <f t="shared" si="7"/>
        <v>42</v>
      </c>
      <c r="B22" s="28" t="s">
        <v>32</v>
      </c>
      <c r="C22" s="27">
        <f t="shared" si="0"/>
        <v>50</v>
      </c>
      <c r="D22" s="29">
        <f t="shared" si="1"/>
        <v>9</v>
      </c>
      <c r="E22" s="85" t="s">
        <v>92</v>
      </c>
      <c r="F22" s="28" t="str">
        <f t="shared" si="8"/>
        <v>361044K-404-PC</v>
      </c>
      <c r="G22" s="28" t="str">
        <f t="shared" si="8"/>
        <v>404 BANK BLUE</v>
      </c>
      <c r="H22" s="30">
        <f t="shared" si="8"/>
        <v>4500457758</v>
      </c>
      <c r="I22" s="31"/>
      <c r="J22" s="31"/>
      <c r="K22" s="31"/>
      <c r="L22" s="31"/>
      <c r="M22" s="31"/>
      <c r="N22" s="31"/>
      <c r="O22" s="31">
        <v>24</v>
      </c>
      <c r="P22" s="30"/>
      <c r="Q22" s="30"/>
      <c r="R22" s="30"/>
      <c r="S22" s="28">
        <f t="shared" si="2"/>
        <v>24</v>
      </c>
      <c r="T22" s="28">
        <v>216</v>
      </c>
      <c r="U22" s="32">
        <v>1.8</v>
      </c>
      <c r="V22" s="32">
        <v>2</v>
      </c>
      <c r="W22" s="33">
        <f t="shared" si="4"/>
        <v>16.2</v>
      </c>
      <c r="X22" s="34">
        <f t="shared" si="5"/>
        <v>18</v>
      </c>
      <c r="Y22" s="82">
        <f t="shared" si="6"/>
        <v>0.71699999999999997</v>
      </c>
      <c r="Z22" s="37">
        <v>71</v>
      </c>
      <c r="AA22" s="38">
        <v>33</v>
      </c>
      <c r="AB22" s="37">
        <v>34</v>
      </c>
      <c r="AC22" s="93" t="s">
        <v>103</v>
      </c>
      <c r="AD22" s="89" t="str">
        <f t="shared" si="9"/>
        <v>JCR</v>
      </c>
      <c r="AE22" s="36"/>
      <c r="AF22" s="39" t="str">
        <f>+RIGHT((E2:E22),6)</f>
        <v>172394</v>
      </c>
      <c r="AG22" s="40">
        <f>+AF22-D22+1</f>
        <v>172386</v>
      </c>
      <c r="AH22" s="41">
        <f>+AF22-AG22+1</f>
        <v>9</v>
      </c>
      <c r="AI22" s="41">
        <f>+AH22-D22</f>
        <v>0</v>
      </c>
    </row>
    <row r="23" spans="1:35" s="42" customFormat="1" ht="24" customHeight="1">
      <c r="A23" s="219" t="s">
        <v>33</v>
      </c>
      <c r="B23" s="220"/>
      <c r="C23" s="221"/>
      <c r="D23" s="44">
        <f>SUM(D16:D22)</f>
        <v>50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4">
        <f>SUM(T16:T22)</f>
        <v>1200</v>
      </c>
      <c r="U23" s="49"/>
      <c r="V23" s="49"/>
      <c r="W23" s="50">
        <f>SUM(W16:W22)</f>
        <v>71.350000000000009</v>
      </c>
      <c r="X23" s="50">
        <f>SUM(X16:X22)</f>
        <v>75.2</v>
      </c>
      <c r="Y23" s="51"/>
      <c r="Z23" s="52"/>
      <c r="AA23" s="3"/>
      <c r="AB23" s="53"/>
      <c r="AC23" s="8"/>
      <c r="AD23" s="90"/>
      <c r="AE23" s="8"/>
    </row>
    <row r="24" spans="1:35" s="42" customFormat="1" ht="12.75" customHeight="1">
      <c r="A24" s="54"/>
      <c r="B24" s="22"/>
      <c r="C24" s="22"/>
      <c r="D24" s="55"/>
      <c r="E24" s="4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6"/>
      <c r="T24" s="57"/>
      <c r="U24" s="22"/>
      <c r="V24" s="22"/>
      <c r="W24" s="57"/>
      <c r="X24" s="57"/>
      <c r="Y24" s="58"/>
      <c r="Z24" s="3"/>
      <c r="AA24" s="3"/>
      <c r="AB24" s="53"/>
      <c r="AC24" s="8"/>
      <c r="AD24" s="58"/>
      <c r="AE24" s="8"/>
    </row>
    <row r="25" spans="1:35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  <c r="T25" s="60"/>
      <c r="U25" s="22"/>
      <c r="V25" s="56"/>
      <c r="W25" s="57"/>
      <c r="X25" s="57"/>
      <c r="Y25" s="61"/>
      <c r="Z25" s="3"/>
      <c r="AA25" s="3"/>
      <c r="AB25" s="53"/>
      <c r="AC25" s="8"/>
      <c r="AD25" s="61"/>
      <c r="AE25" s="8"/>
    </row>
    <row r="26" spans="1:35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22" t="str">
        <f>+H13</f>
        <v>Po#</v>
      </c>
      <c r="I26" s="213" t="str">
        <f t="shared" ref="I26:O26" si="10">+I14</f>
        <v>8H</v>
      </c>
      <c r="J26" s="213" t="str">
        <f t="shared" si="10"/>
        <v>10H</v>
      </c>
      <c r="K26" s="213" t="str">
        <f t="shared" si="10"/>
        <v>12H</v>
      </c>
      <c r="L26" s="213" t="str">
        <f t="shared" si="10"/>
        <v>14H</v>
      </c>
      <c r="M26" s="213" t="str">
        <f t="shared" si="10"/>
        <v>16H</v>
      </c>
      <c r="N26" s="213" t="str">
        <f t="shared" si="10"/>
        <v>18H</v>
      </c>
      <c r="O26" s="213" t="str">
        <f t="shared" si="10"/>
        <v>20H</v>
      </c>
      <c r="P26" s="335"/>
      <c r="Q26" s="335"/>
      <c r="R26" s="335"/>
      <c r="S26" s="222" t="s">
        <v>35</v>
      </c>
      <c r="T26" s="63"/>
      <c r="U26" s="62"/>
      <c r="V26" s="62"/>
      <c r="W26" s="62"/>
      <c r="X26" s="62"/>
      <c r="Y26" s="61"/>
      <c r="AC26" s="12"/>
      <c r="AD26" s="61"/>
      <c r="AE26" s="12"/>
      <c r="AG26" s="64" t="s">
        <v>54</v>
      </c>
    </row>
    <row r="27" spans="1:35" s="64" customFormat="1" ht="20.25" customHeight="1">
      <c r="B27" s="65"/>
      <c r="C27" s="65"/>
      <c r="D27" s="66"/>
      <c r="E27" s="66"/>
      <c r="F27" s="223"/>
      <c r="G27" s="223"/>
      <c r="H27" s="223"/>
      <c r="I27" s="214"/>
      <c r="J27" s="214" t="str">
        <f>+J14</f>
        <v>10H</v>
      </c>
      <c r="K27" s="214"/>
      <c r="L27" s="214" t="str">
        <f>+L14</f>
        <v>14H</v>
      </c>
      <c r="M27" s="214" t="str">
        <f>+M14</f>
        <v>16H</v>
      </c>
      <c r="N27" s="214" t="str">
        <f>+N14</f>
        <v>18H</v>
      </c>
      <c r="O27" s="214" t="str">
        <f>+O14</f>
        <v>20H</v>
      </c>
      <c r="P27" s="91" t="str">
        <f>P14</f>
        <v>32/38</v>
      </c>
      <c r="Q27" s="91" t="str">
        <f>Q14</f>
        <v>32/40</v>
      </c>
      <c r="R27" s="91" t="str">
        <f>+R14</f>
        <v>32/42</v>
      </c>
      <c r="S27" s="223"/>
      <c r="T27" s="65"/>
      <c r="U27" s="65"/>
      <c r="V27" s="65"/>
      <c r="W27" s="65"/>
      <c r="X27" s="65"/>
      <c r="AC27" s="12"/>
      <c r="AE27" s="12"/>
    </row>
    <row r="28" spans="1:35" s="64" customFormat="1" ht="23.25" customHeight="1">
      <c r="B28" s="65"/>
      <c r="C28" s="65"/>
      <c r="D28" s="65"/>
      <c r="E28" s="65"/>
      <c r="F28" s="67" t="str">
        <f>+F19</f>
        <v>361044K-404-PC</v>
      </c>
      <c r="G28" s="67" t="str">
        <f>+G19</f>
        <v>404 BANK BLUE</v>
      </c>
      <c r="H28" s="30">
        <f>+H19</f>
        <v>4500457758</v>
      </c>
      <c r="I28" s="70">
        <f>+I16*$D$16</f>
        <v>48</v>
      </c>
      <c r="J28" s="70">
        <f t="shared" ref="J28:O28" si="11">+J16*$D$16</f>
        <v>0</v>
      </c>
      <c r="K28" s="70">
        <f t="shared" si="11"/>
        <v>0</v>
      </c>
      <c r="L28" s="70">
        <f t="shared" si="11"/>
        <v>0</v>
      </c>
      <c r="M28" s="70">
        <f t="shared" si="11"/>
        <v>0</v>
      </c>
      <c r="N28" s="70">
        <f t="shared" si="11"/>
        <v>0</v>
      </c>
      <c r="O28" s="70">
        <f t="shared" si="11"/>
        <v>0</v>
      </c>
      <c r="P28" s="70" t="e">
        <f>+#REF!</f>
        <v>#REF!</v>
      </c>
      <c r="Q28" s="70" t="e">
        <f>+#REF!</f>
        <v>#REF!</v>
      </c>
      <c r="R28" s="70" t="e">
        <f>+#REF!</f>
        <v>#REF!</v>
      </c>
      <c r="S28" s="71">
        <f t="shared" ref="S28:S34" si="12">+SUM(I28:O28)</f>
        <v>48</v>
      </c>
      <c r="T28" s="62"/>
      <c r="U28" s="62"/>
      <c r="V28" s="62"/>
      <c r="W28" s="62"/>
      <c r="X28" s="62"/>
      <c r="Y28" s="61"/>
      <c r="AC28" s="12"/>
      <c r="AD28" s="61"/>
      <c r="AE28" s="12"/>
    </row>
    <row r="29" spans="1:35" s="64" customFormat="1" ht="23.25" customHeight="1">
      <c r="B29" s="65"/>
      <c r="C29" s="65"/>
      <c r="D29" s="65"/>
      <c r="E29" s="65"/>
      <c r="F29" s="67" t="str">
        <f>+F28</f>
        <v>361044K-404-PC</v>
      </c>
      <c r="G29" s="67" t="str">
        <f>+G28</f>
        <v>404 BANK BLUE</v>
      </c>
      <c r="H29" s="30">
        <f>+H28</f>
        <v>4500457758</v>
      </c>
      <c r="I29" s="70">
        <f>+I17*$D$17</f>
        <v>0</v>
      </c>
      <c r="J29" s="70">
        <f t="shared" ref="J29:O29" si="13">+J17*$D$17</f>
        <v>168</v>
      </c>
      <c r="K29" s="70">
        <f t="shared" si="13"/>
        <v>0</v>
      </c>
      <c r="L29" s="70">
        <f t="shared" si="13"/>
        <v>0</v>
      </c>
      <c r="M29" s="70">
        <f t="shared" si="13"/>
        <v>0</v>
      </c>
      <c r="N29" s="70">
        <f t="shared" si="13"/>
        <v>0</v>
      </c>
      <c r="O29" s="70">
        <f t="shared" si="13"/>
        <v>0</v>
      </c>
      <c r="P29" s="70" t="e">
        <f>+#REF!</f>
        <v>#REF!</v>
      </c>
      <c r="Q29" s="70" t="e">
        <f>+#REF!</f>
        <v>#REF!</v>
      </c>
      <c r="R29" s="70" t="e">
        <f>+#REF!</f>
        <v>#REF!</v>
      </c>
      <c r="S29" s="71">
        <f t="shared" si="12"/>
        <v>168</v>
      </c>
      <c r="T29" s="62"/>
      <c r="U29" s="62"/>
      <c r="V29" s="62"/>
      <c r="W29" s="62"/>
      <c r="X29" s="62"/>
      <c r="Y29" s="61"/>
      <c r="AC29" s="61"/>
      <c r="AD29" s="61"/>
      <c r="AE29" s="12"/>
      <c r="AF29" s="12"/>
    </row>
    <row r="30" spans="1:35" s="64" customFormat="1" ht="23.25" customHeight="1">
      <c r="B30" s="65"/>
      <c r="C30" s="65"/>
      <c r="D30" s="65"/>
      <c r="E30" s="65"/>
      <c r="F30" s="67" t="str">
        <f>+F18</f>
        <v>361044K-404-PC</v>
      </c>
      <c r="G30" s="67" t="str">
        <f>G34</f>
        <v>404 BANK BLUE</v>
      </c>
      <c r="H30" s="30">
        <f>+H18</f>
        <v>4500457758</v>
      </c>
      <c r="I30" s="70">
        <f>+I18*$D$18</f>
        <v>0</v>
      </c>
      <c r="J30" s="70">
        <f t="shared" ref="J30:O30" si="14">+J18*$D$18</f>
        <v>0</v>
      </c>
      <c r="K30" s="70">
        <f t="shared" si="14"/>
        <v>168</v>
      </c>
      <c r="L30" s="70">
        <f t="shared" si="14"/>
        <v>0</v>
      </c>
      <c r="M30" s="70">
        <f t="shared" si="14"/>
        <v>0</v>
      </c>
      <c r="N30" s="70">
        <f t="shared" si="14"/>
        <v>0</v>
      </c>
      <c r="O30" s="70">
        <f t="shared" si="14"/>
        <v>0</v>
      </c>
      <c r="P30" s="70" t="e">
        <f>+#REF!</f>
        <v>#REF!</v>
      </c>
      <c r="Q30" s="70" t="e">
        <f>+#REF!</f>
        <v>#REF!</v>
      </c>
      <c r="R30" s="70" t="e">
        <f>+#REF!</f>
        <v>#REF!</v>
      </c>
      <c r="S30" s="71">
        <f t="shared" si="12"/>
        <v>168</v>
      </c>
      <c r="T30" s="62"/>
      <c r="U30" s="62"/>
      <c r="V30" s="62"/>
      <c r="W30" s="62"/>
      <c r="X30" s="62"/>
      <c r="Y30" s="61"/>
      <c r="AC30" s="12"/>
      <c r="AD30" s="61"/>
      <c r="AE30" s="12"/>
    </row>
    <row r="31" spans="1:35" s="64" customFormat="1" ht="23.25" customHeight="1">
      <c r="B31" s="65"/>
      <c r="C31" s="65"/>
      <c r="D31" s="65"/>
      <c r="E31" s="65"/>
      <c r="F31" s="67" t="str">
        <f>+F30</f>
        <v>361044K-404-PC</v>
      </c>
      <c r="G31" s="67" t="str">
        <f t="shared" ref="G31:H31" si="15">+G30</f>
        <v>404 BANK BLUE</v>
      </c>
      <c r="H31" s="30">
        <f t="shared" si="15"/>
        <v>4500457758</v>
      </c>
      <c r="I31" s="70">
        <f>+I19*$D$19</f>
        <v>0</v>
      </c>
      <c r="J31" s="70">
        <f t="shared" ref="J31:O31" si="16">+J19*$D$19</f>
        <v>0</v>
      </c>
      <c r="K31" s="70">
        <f t="shared" si="16"/>
        <v>0</v>
      </c>
      <c r="L31" s="70">
        <f t="shared" si="16"/>
        <v>192</v>
      </c>
      <c r="M31" s="70">
        <f t="shared" si="16"/>
        <v>0</v>
      </c>
      <c r="N31" s="70">
        <f t="shared" si="16"/>
        <v>0</v>
      </c>
      <c r="O31" s="70">
        <f t="shared" si="16"/>
        <v>0</v>
      </c>
      <c r="P31" s="70" t="e">
        <f>+#REF!</f>
        <v>#REF!</v>
      </c>
      <c r="Q31" s="70" t="e">
        <f>+#REF!</f>
        <v>#REF!</v>
      </c>
      <c r="R31" s="70" t="e">
        <f>+#REF!</f>
        <v>#REF!</v>
      </c>
      <c r="S31" s="71">
        <f t="shared" si="12"/>
        <v>192</v>
      </c>
      <c r="T31" s="62"/>
      <c r="U31" s="62"/>
      <c r="V31" s="62"/>
      <c r="W31" s="62"/>
      <c r="X31" s="62"/>
      <c r="Y31" s="61"/>
      <c r="AC31" s="61"/>
      <c r="AD31" s="61"/>
      <c r="AE31" s="12"/>
      <c r="AF31" s="12"/>
    </row>
    <row r="32" spans="1:35" s="64" customFormat="1" ht="23.25" customHeight="1">
      <c r="B32" s="65"/>
      <c r="C32" s="65"/>
      <c r="D32" s="65"/>
      <c r="E32" s="65"/>
      <c r="F32" s="67" t="str">
        <f>+F28</f>
        <v>361044K-404-PC</v>
      </c>
      <c r="G32" s="67" t="str">
        <f t="shared" ref="G32:H32" si="17">+G28</f>
        <v>404 BANK BLUE</v>
      </c>
      <c r="H32" s="30">
        <f t="shared" si="17"/>
        <v>4500457758</v>
      </c>
      <c r="I32" s="70">
        <f>+I20*$D$20</f>
        <v>0</v>
      </c>
      <c r="J32" s="70">
        <f t="shared" ref="J32:O32" si="18">+J20*$D$20</f>
        <v>0</v>
      </c>
      <c r="K32" s="70">
        <f t="shared" si="18"/>
        <v>0</v>
      </c>
      <c r="L32" s="70">
        <f t="shared" si="18"/>
        <v>0</v>
      </c>
      <c r="M32" s="70">
        <f t="shared" si="18"/>
        <v>192</v>
      </c>
      <c r="N32" s="70">
        <f t="shared" si="18"/>
        <v>0</v>
      </c>
      <c r="O32" s="70">
        <f t="shared" si="18"/>
        <v>0</v>
      </c>
      <c r="P32" s="70" t="e">
        <f>+#REF!</f>
        <v>#REF!</v>
      </c>
      <c r="Q32" s="70" t="e">
        <f>+#REF!</f>
        <v>#REF!</v>
      </c>
      <c r="R32" s="70" t="e">
        <f>+#REF!</f>
        <v>#REF!</v>
      </c>
      <c r="S32" s="71">
        <f t="shared" si="12"/>
        <v>192</v>
      </c>
      <c r="T32" s="62"/>
      <c r="U32" s="62"/>
      <c r="V32" s="62"/>
      <c r="W32" s="62"/>
      <c r="X32" s="62"/>
      <c r="Y32" s="61"/>
      <c r="AC32" s="61"/>
      <c r="AD32" s="61"/>
      <c r="AE32" s="12"/>
      <c r="AF32" s="12"/>
    </row>
    <row r="33" spans="1:32" s="64" customFormat="1" ht="23.25" customHeight="1">
      <c r="B33" s="65"/>
      <c r="C33" s="65"/>
      <c r="D33" s="65"/>
      <c r="E33" s="65"/>
      <c r="F33" s="67" t="str">
        <f>+F21</f>
        <v>361044K-404-PC</v>
      </c>
      <c r="G33" s="67" t="str">
        <f>+G21</f>
        <v>404 BANK BLUE</v>
      </c>
      <c r="H33" s="30">
        <f>+H21</f>
        <v>4500457758</v>
      </c>
      <c r="I33" s="70">
        <f>+I21*$D$21</f>
        <v>0</v>
      </c>
      <c r="J33" s="70">
        <f t="shared" ref="J33:O33" si="19">+J21*$D$21</f>
        <v>0</v>
      </c>
      <c r="K33" s="70">
        <f t="shared" si="19"/>
        <v>0</v>
      </c>
      <c r="L33" s="70">
        <f t="shared" si="19"/>
        <v>0</v>
      </c>
      <c r="M33" s="70">
        <f t="shared" si="19"/>
        <v>0</v>
      </c>
      <c r="N33" s="70">
        <f t="shared" si="19"/>
        <v>216</v>
      </c>
      <c r="O33" s="70">
        <f t="shared" si="19"/>
        <v>0</v>
      </c>
      <c r="P33" s="70" t="e">
        <f>+#REF!</f>
        <v>#REF!</v>
      </c>
      <c r="Q33" s="70" t="e">
        <f>+#REF!</f>
        <v>#REF!</v>
      </c>
      <c r="R33" s="70" t="e">
        <f>+#REF!</f>
        <v>#REF!</v>
      </c>
      <c r="S33" s="71">
        <f t="shared" si="12"/>
        <v>216</v>
      </c>
      <c r="T33" s="62"/>
      <c r="U33" s="62"/>
      <c r="V33" s="62"/>
      <c r="W33" s="62"/>
      <c r="X33" s="62"/>
      <c r="Y33" s="61"/>
      <c r="AC33" s="12"/>
      <c r="AD33" s="61"/>
      <c r="AE33" s="12"/>
    </row>
    <row r="34" spans="1:32" s="64" customFormat="1" ht="23.25" customHeight="1">
      <c r="B34" s="65"/>
      <c r="C34" s="65"/>
      <c r="D34" s="65"/>
      <c r="E34" s="65"/>
      <c r="F34" s="67" t="str">
        <f>+F33</f>
        <v>361044K-404-PC</v>
      </c>
      <c r="G34" s="67" t="str">
        <f t="shared" ref="G34:H34" si="20">+G33</f>
        <v>404 BANK BLUE</v>
      </c>
      <c r="H34" s="30">
        <f t="shared" si="20"/>
        <v>4500457758</v>
      </c>
      <c r="I34" s="70">
        <f>+I22*$D$22</f>
        <v>0</v>
      </c>
      <c r="J34" s="70">
        <f t="shared" ref="J34:O34" si="21">+J22*$D$22</f>
        <v>0</v>
      </c>
      <c r="K34" s="70">
        <f t="shared" si="21"/>
        <v>0</v>
      </c>
      <c r="L34" s="70">
        <f t="shared" si="21"/>
        <v>0</v>
      </c>
      <c r="M34" s="70">
        <f t="shared" si="21"/>
        <v>0</v>
      </c>
      <c r="N34" s="70">
        <f t="shared" si="21"/>
        <v>0</v>
      </c>
      <c r="O34" s="70">
        <f t="shared" si="21"/>
        <v>216</v>
      </c>
      <c r="P34" s="70" t="e">
        <f>+#REF!</f>
        <v>#REF!</v>
      </c>
      <c r="Q34" s="70" t="e">
        <f>+#REF!</f>
        <v>#REF!</v>
      </c>
      <c r="R34" s="70" t="e">
        <f>+#REF!</f>
        <v>#REF!</v>
      </c>
      <c r="S34" s="71">
        <f t="shared" si="12"/>
        <v>216</v>
      </c>
      <c r="T34" s="62"/>
      <c r="U34" s="62"/>
      <c r="V34" s="62"/>
      <c r="W34" s="62"/>
      <c r="X34" s="62"/>
      <c r="Y34" s="61"/>
      <c r="AC34" s="61"/>
      <c r="AD34" s="61"/>
      <c r="AE34" s="12"/>
      <c r="AF34" s="12"/>
    </row>
    <row r="35" spans="1:32" s="64" customFormat="1" ht="19.5" customHeight="1">
      <c r="A35" s="62"/>
      <c r="B35" s="62"/>
      <c r="C35" s="62"/>
      <c r="D35" s="62"/>
      <c r="E35" s="62"/>
      <c r="F35" s="62"/>
      <c r="G35" s="332" t="s">
        <v>33</v>
      </c>
      <c r="H35" s="333"/>
      <c r="I35" s="71">
        <f>SUM(I28:I34)</f>
        <v>48</v>
      </c>
      <c r="J35" s="71">
        <f t="shared" ref="J35:O35" si="22">SUM(J28:J34)</f>
        <v>168</v>
      </c>
      <c r="K35" s="71">
        <f t="shared" si="22"/>
        <v>168</v>
      </c>
      <c r="L35" s="71">
        <f t="shared" si="22"/>
        <v>192</v>
      </c>
      <c r="M35" s="71">
        <f t="shared" si="22"/>
        <v>192</v>
      </c>
      <c r="N35" s="71">
        <f t="shared" si="22"/>
        <v>216</v>
      </c>
      <c r="O35" s="71">
        <f t="shared" si="22"/>
        <v>216</v>
      </c>
      <c r="P35" s="71" t="e">
        <f t="shared" ref="P35:R35" si="23">SUM(P33:P33)</f>
        <v>#REF!</v>
      </c>
      <c r="Q35" s="71" t="e">
        <f t="shared" si="23"/>
        <v>#REF!</v>
      </c>
      <c r="R35" s="71" t="e">
        <f t="shared" si="23"/>
        <v>#REF!</v>
      </c>
      <c r="S35" s="71">
        <f>SUM(S28:S34)</f>
        <v>1200</v>
      </c>
      <c r="T35" s="62"/>
      <c r="U35" s="63"/>
      <c r="V35" s="62"/>
      <c r="W35" s="62"/>
      <c r="X35" s="62"/>
      <c r="Y35" s="61"/>
      <c r="AD35" s="61"/>
    </row>
    <row r="36" spans="1:32">
      <c r="X36" s="74"/>
    </row>
    <row r="37" spans="1:32">
      <c r="K37" s="74" t="s">
        <v>0</v>
      </c>
    </row>
    <row r="39" spans="1:32">
      <c r="T39" s="75"/>
      <c r="U39" s="76"/>
      <c r="V39" s="76"/>
      <c r="W39" s="76"/>
    </row>
    <row r="40" spans="1:32">
      <c r="T40" s="76"/>
      <c r="U40" s="76"/>
      <c r="V40" s="76"/>
      <c r="W40" s="76"/>
    </row>
    <row r="41" spans="1:32">
      <c r="T41" s="76"/>
      <c r="U41" s="76"/>
      <c r="V41" s="76"/>
      <c r="W41" s="76"/>
    </row>
    <row r="42" spans="1:32">
      <c r="G42" s="77"/>
      <c r="T42" s="76"/>
      <c r="U42" s="76"/>
      <c r="V42" s="76"/>
      <c r="W42" s="76"/>
    </row>
    <row r="43" spans="1:32">
      <c r="G43" s="78"/>
      <c r="T43" s="76"/>
      <c r="U43" s="76"/>
      <c r="V43" s="76"/>
      <c r="W43" s="76"/>
    </row>
    <row r="44" spans="1:32">
      <c r="G44" s="77"/>
      <c r="H44" s="77"/>
      <c r="U44" s="76"/>
      <c r="V44" s="76"/>
      <c r="W44" s="76"/>
    </row>
  </sheetData>
  <autoFilter ref="A15:DK23">
    <filterColumn colId="0" showButton="0"/>
    <filterColumn colId="1" showButton="0"/>
  </autoFilter>
  <mergeCells count="44">
    <mergeCell ref="K14:K15"/>
    <mergeCell ref="L14:L15"/>
    <mergeCell ref="P14:P15"/>
    <mergeCell ref="G13:G15"/>
    <mergeCell ref="S26:S27"/>
    <mergeCell ref="Q14:Q15"/>
    <mergeCell ref="H13:H15"/>
    <mergeCell ref="I13:R13"/>
    <mergeCell ref="R14:R15"/>
    <mergeCell ref="M14:M15"/>
    <mergeCell ref="N14:N15"/>
    <mergeCell ref="O14:O15"/>
    <mergeCell ref="G35:H35"/>
    <mergeCell ref="AD13:AD15"/>
    <mergeCell ref="K26:K27"/>
    <mergeCell ref="L26:L27"/>
    <mergeCell ref="M26:M27"/>
    <mergeCell ref="N26:N27"/>
    <mergeCell ref="O26:O27"/>
    <mergeCell ref="P26:R26"/>
    <mergeCell ref="J26:J27"/>
    <mergeCell ref="Z13:AB14"/>
    <mergeCell ref="AC13:AC15"/>
    <mergeCell ref="I14:I15"/>
    <mergeCell ref="J14:J15"/>
    <mergeCell ref="S13:S15"/>
    <mergeCell ref="T13:T15"/>
    <mergeCell ref="Y13:Y15"/>
    <mergeCell ref="A23:C23"/>
    <mergeCell ref="F26:F27"/>
    <mergeCell ref="G26:G27"/>
    <mergeCell ref="H26:H27"/>
    <mergeCell ref="I26:I27"/>
    <mergeCell ref="A1:AB1"/>
    <mergeCell ref="A2:AB2"/>
    <mergeCell ref="A3:AB3"/>
    <mergeCell ref="A4:AB4"/>
    <mergeCell ref="A6:AB6"/>
    <mergeCell ref="D10:G10"/>
    <mergeCell ref="C12:D12"/>
    <mergeCell ref="A13:C15"/>
    <mergeCell ref="D13:D15"/>
    <mergeCell ref="E13:E15"/>
    <mergeCell ref="F13:F15"/>
  </mergeCells>
  <printOptions horizontalCentered="1"/>
  <pageMargins left="0" right="0" top="0" bottom="0" header="0" footer="0"/>
  <pageSetup scale="5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44"/>
  <sheetViews>
    <sheetView view="pageBreakPreview" zoomScale="73" zoomScaleNormal="85" zoomScaleSheetLayoutView="73" workbookViewId="0">
      <pane xSplit="8" ySplit="15" topLeftCell="I16" activePane="bottomRight" state="frozen"/>
      <selection pane="topRight" activeCell="H1" sqref="H1"/>
      <selection pane="bottomLeft" activeCell="A13" sqref="A13"/>
      <selection pane="bottomRight" activeCell="Z21" sqref="Z21"/>
    </sheetView>
  </sheetViews>
  <sheetFormatPr defaultRowHeight="16.5"/>
  <cols>
    <col min="1" max="1" width="5.7109375" style="73" customWidth="1"/>
    <col min="2" max="2" width="2.140625" style="73" customWidth="1"/>
    <col min="3" max="3" width="5.5703125" style="73" customWidth="1"/>
    <col min="4" max="4" width="14.28515625" style="73" customWidth="1"/>
    <col min="5" max="5" width="31.140625" style="73" customWidth="1"/>
    <col min="6" max="6" width="25.28515625" style="73" customWidth="1"/>
    <col min="7" max="7" width="17.140625" style="73" customWidth="1"/>
    <col min="8" max="8" width="12.85546875" style="73" customWidth="1"/>
    <col min="9" max="10" width="8.28515625" style="73" customWidth="1"/>
    <col min="11" max="12" width="8.42578125" style="73" customWidth="1"/>
    <col min="13" max="15" width="8.28515625" style="73" customWidth="1"/>
    <col min="16" max="16" width="8.28515625" style="73" hidden="1" customWidth="1"/>
    <col min="17" max="17" width="8.5703125" style="73" hidden="1" customWidth="1"/>
    <col min="18" max="18" width="9.140625" style="73" hidden="1" customWidth="1"/>
    <col min="19" max="19" width="7.7109375" style="73" customWidth="1"/>
    <col min="20" max="20" width="11.42578125" style="73" customWidth="1"/>
    <col min="21" max="21" width="8.7109375" style="73" customWidth="1"/>
    <col min="22" max="22" width="7.42578125" style="73" customWidth="1"/>
    <col min="23" max="23" width="10.7109375" style="73" customWidth="1"/>
    <col min="24" max="24" width="12" style="73" customWidth="1"/>
    <col min="25" max="25" width="8.85546875" style="73" customWidth="1"/>
    <col min="26" max="27" width="11.28515625" style="73" customWidth="1"/>
    <col min="28" max="28" width="9.140625" style="73" customWidth="1"/>
    <col min="29" max="29" width="22.7109375" style="73" customWidth="1"/>
    <col min="30" max="30" width="15.5703125" style="73" customWidth="1"/>
    <col min="31" max="257" width="9.140625" style="73"/>
    <col min="258" max="258" width="6.85546875" style="73" customWidth="1"/>
    <col min="259" max="259" width="2.140625" style="73" customWidth="1"/>
    <col min="260" max="260" width="6.140625" style="73" customWidth="1"/>
    <col min="261" max="261" width="8.85546875" style="73" customWidth="1"/>
    <col min="262" max="262" width="28.42578125" style="73" customWidth="1"/>
    <col min="263" max="263" width="13.85546875" style="73" customWidth="1"/>
    <col min="264" max="264" width="8.42578125" style="73" customWidth="1"/>
    <col min="265" max="268" width="0" style="73" hidden="1" customWidth="1"/>
    <col min="269" max="269" width="5.28515625" style="73" customWidth="1"/>
    <col min="270" max="270" width="5.5703125" style="73" customWidth="1"/>
    <col min="271" max="271" width="6" style="73" customWidth="1"/>
    <col min="272" max="272" width="5.5703125" style="73" customWidth="1"/>
    <col min="273" max="274" width="5.7109375" style="73" customWidth="1"/>
    <col min="275" max="275" width="9.85546875" style="73" customWidth="1"/>
    <col min="276" max="276" width="9.7109375" style="73" customWidth="1"/>
    <col min="277" max="277" width="8.85546875" style="73" customWidth="1"/>
    <col min="278" max="278" width="10" style="73" customWidth="1"/>
    <col min="279" max="279" width="8.28515625" style="73" customWidth="1"/>
    <col min="280" max="280" width="9.5703125" style="73" customWidth="1"/>
    <col min="281" max="281" width="15.5703125" style="73" customWidth="1"/>
    <col min="282" max="513" width="9.140625" style="73"/>
    <col min="514" max="514" width="6.85546875" style="73" customWidth="1"/>
    <col min="515" max="515" width="2.140625" style="73" customWidth="1"/>
    <col min="516" max="516" width="6.140625" style="73" customWidth="1"/>
    <col min="517" max="517" width="8.85546875" style="73" customWidth="1"/>
    <col min="518" max="518" width="28.42578125" style="73" customWidth="1"/>
    <col min="519" max="519" width="13.85546875" style="73" customWidth="1"/>
    <col min="520" max="520" width="8.42578125" style="73" customWidth="1"/>
    <col min="521" max="524" width="0" style="73" hidden="1" customWidth="1"/>
    <col min="525" max="525" width="5.28515625" style="73" customWidth="1"/>
    <col min="526" max="526" width="5.5703125" style="73" customWidth="1"/>
    <col min="527" max="527" width="6" style="73" customWidth="1"/>
    <col min="528" max="528" width="5.5703125" style="73" customWidth="1"/>
    <col min="529" max="530" width="5.7109375" style="73" customWidth="1"/>
    <col min="531" max="531" width="9.85546875" style="73" customWidth="1"/>
    <col min="532" max="532" width="9.7109375" style="73" customWidth="1"/>
    <col min="533" max="533" width="8.85546875" style="73" customWidth="1"/>
    <col min="534" max="534" width="10" style="73" customWidth="1"/>
    <col min="535" max="535" width="8.28515625" style="73" customWidth="1"/>
    <col min="536" max="536" width="9.5703125" style="73" customWidth="1"/>
    <col min="537" max="537" width="15.5703125" style="73" customWidth="1"/>
    <col min="538" max="769" width="9.140625" style="73"/>
    <col min="770" max="770" width="6.85546875" style="73" customWidth="1"/>
    <col min="771" max="771" width="2.140625" style="73" customWidth="1"/>
    <col min="772" max="772" width="6.140625" style="73" customWidth="1"/>
    <col min="773" max="773" width="8.85546875" style="73" customWidth="1"/>
    <col min="774" max="774" width="28.42578125" style="73" customWidth="1"/>
    <col min="775" max="775" width="13.85546875" style="73" customWidth="1"/>
    <col min="776" max="776" width="8.42578125" style="73" customWidth="1"/>
    <col min="777" max="780" width="0" style="73" hidden="1" customWidth="1"/>
    <col min="781" max="781" width="5.28515625" style="73" customWidth="1"/>
    <col min="782" max="782" width="5.5703125" style="73" customWidth="1"/>
    <col min="783" max="783" width="6" style="73" customWidth="1"/>
    <col min="784" max="784" width="5.5703125" style="73" customWidth="1"/>
    <col min="785" max="786" width="5.7109375" style="73" customWidth="1"/>
    <col min="787" max="787" width="9.85546875" style="73" customWidth="1"/>
    <col min="788" max="788" width="9.7109375" style="73" customWidth="1"/>
    <col min="789" max="789" width="8.85546875" style="73" customWidth="1"/>
    <col min="790" max="790" width="10" style="73" customWidth="1"/>
    <col min="791" max="791" width="8.28515625" style="73" customWidth="1"/>
    <col min="792" max="792" width="9.5703125" style="73" customWidth="1"/>
    <col min="793" max="793" width="15.5703125" style="73" customWidth="1"/>
    <col min="794" max="1025" width="9.140625" style="73"/>
    <col min="1026" max="1026" width="6.85546875" style="73" customWidth="1"/>
    <col min="1027" max="1027" width="2.140625" style="73" customWidth="1"/>
    <col min="1028" max="1028" width="6.140625" style="73" customWidth="1"/>
    <col min="1029" max="1029" width="8.85546875" style="73" customWidth="1"/>
    <col min="1030" max="1030" width="28.42578125" style="73" customWidth="1"/>
    <col min="1031" max="1031" width="13.85546875" style="73" customWidth="1"/>
    <col min="1032" max="1032" width="8.42578125" style="73" customWidth="1"/>
    <col min="1033" max="1036" width="0" style="73" hidden="1" customWidth="1"/>
    <col min="1037" max="1037" width="5.28515625" style="73" customWidth="1"/>
    <col min="1038" max="1038" width="5.5703125" style="73" customWidth="1"/>
    <col min="1039" max="1039" width="6" style="73" customWidth="1"/>
    <col min="1040" max="1040" width="5.5703125" style="73" customWidth="1"/>
    <col min="1041" max="1042" width="5.7109375" style="73" customWidth="1"/>
    <col min="1043" max="1043" width="9.85546875" style="73" customWidth="1"/>
    <col min="1044" max="1044" width="9.7109375" style="73" customWidth="1"/>
    <col min="1045" max="1045" width="8.85546875" style="73" customWidth="1"/>
    <col min="1046" max="1046" width="10" style="73" customWidth="1"/>
    <col min="1047" max="1047" width="8.28515625" style="73" customWidth="1"/>
    <col min="1048" max="1048" width="9.5703125" style="73" customWidth="1"/>
    <col min="1049" max="1049" width="15.5703125" style="73" customWidth="1"/>
    <col min="1050" max="1281" width="9.140625" style="73"/>
    <col min="1282" max="1282" width="6.85546875" style="73" customWidth="1"/>
    <col min="1283" max="1283" width="2.140625" style="73" customWidth="1"/>
    <col min="1284" max="1284" width="6.140625" style="73" customWidth="1"/>
    <col min="1285" max="1285" width="8.85546875" style="73" customWidth="1"/>
    <col min="1286" max="1286" width="28.42578125" style="73" customWidth="1"/>
    <col min="1287" max="1287" width="13.85546875" style="73" customWidth="1"/>
    <col min="1288" max="1288" width="8.42578125" style="73" customWidth="1"/>
    <col min="1289" max="1292" width="0" style="73" hidden="1" customWidth="1"/>
    <col min="1293" max="1293" width="5.28515625" style="73" customWidth="1"/>
    <col min="1294" max="1294" width="5.5703125" style="73" customWidth="1"/>
    <col min="1295" max="1295" width="6" style="73" customWidth="1"/>
    <col min="1296" max="1296" width="5.5703125" style="73" customWidth="1"/>
    <col min="1297" max="1298" width="5.7109375" style="73" customWidth="1"/>
    <col min="1299" max="1299" width="9.85546875" style="73" customWidth="1"/>
    <col min="1300" max="1300" width="9.7109375" style="73" customWidth="1"/>
    <col min="1301" max="1301" width="8.85546875" style="73" customWidth="1"/>
    <col min="1302" max="1302" width="10" style="73" customWidth="1"/>
    <col min="1303" max="1303" width="8.28515625" style="73" customWidth="1"/>
    <col min="1304" max="1304" width="9.5703125" style="73" customWidth="1"/>
    <col min="1305" max="1305" width="15.5703125" style="73" customWidth="1"/>
    <col min="1306" max="1537" width="9.140625" style="73"/>
    <col min="1538" max="1538" width="6.85546875" style="73" customWidth="1"/>
    <col min="1539" max="1539" width="2.140625" style="73" customWidth="1"/>
    <col min="1540" max="1540" width="6.140625" style="73" customWidth="1"/>
    <col min="1541" max="1541" width="8.85546875" style="73" customWidth="1"/>
    <col min="1542" max="1542" width="28.42578125" style="73" customWidth="1"/>
    <col min="1543" max="1543" width="13.85546875" style="73" customWidth="1"/>
    <col min="1544" max="1544" width="8.42578125" style="73" customWidth="1"/>
    <col min="1545" max="1548" width="0" style="73" hidden="1" customWidth="1"/>
    <col min="1549" max="1549" width="5.28515625" style="73" customWidth="1"/>
    <col min="1550" max="1550" width="5.5703125" style="73" customWidth="1"/>
    <col min="1551" max="1551" width="6" style="73" customWidth="1"/>
    <col min="1552" max="1552" width="5.5703125" style="73" customWidth="1"/>
    <col min="1553" max="1554" width="5.7109375" style="73" customWidth="1"/>
    <col min="1555" max="1555" width="9.85546875" style="73" customWidth="1"/>
    <col min="1556" max="1556" width="9.7109375" style="73" customWidth="1"/>
    <col min="1557" max="1557" width="8.85546875" style="73" customWidth="1"/>
    <col min="1558" max="1558" width="10" style="73" customWidth="1"/>
    <col min="1559" max="1559" width="8.28515625" style="73" customWidth="1"/>
    <col min="1560" max="1560" width="9.5703125" style="73" customWidth="1"/>
    <col min="1561" max="1561" width="15.5703125" style="73" customWidth="1"/>
    <col min="1562" max="1793" width="9.140625" style="73"/>
    <col min="1794" max="1794" width="6.85546875" style="73" customWidth="1"/>
    <col min="1795" max="1795" width="2.140625" style="73" customWidth="1"/>
    <col min="1796" max="1796" width="6.140625" style="73" customWidth="1"/>
    <col min="1797" max="1797" width="8.85546875" style="73" customWidth="1"/>
    <col min="1798" max="1798" width="28.42578125" style="73" customWidth="1"/>
    <col min="1799" max="1799" width="13.85546875" style="73" customWidth="1"/>
    <col min="1800" max="1800" width="8.42578125" style="73" customWidth="1"/>
    <col min="1801" max="1804" width="0" style="73" hidden="1" customWidth="1"/>
    <col min="1805" max="1805" width="5.28515625" style="73" customWidth="1"/>
    <col min="1806" max="1806" width="5.5703125" style="73" customWidth="1"/>
    <col min="1807" max="1807" width="6" style="73" customWidth="1"/>
    <col min="1808" max="1808" width="5.5703125" style="73" customWidth="1"/>
    <col min="1809" max="1810" width="5.7109375" style="73" customWidth="1"/>
    <col min="1811" max="1811" width="9.85546875" style="73" customWidth="1"/>
    <col min="1812" max="1812" width="9.7109375" style="73" customWidth="1"/>
    <col min="1813" max="1813" width="8.85546875" style="73" customWidth="1"/>
    <col min="1814" max="1814" width="10" style="73" customWidth="1"/>
    <col min="1815" max="1815" width="8.28515625" style="73" customWidth="1"/>
    <col min="1816" max="1816" width="9.5703125" style="73" customWidth="1"/>
    <col min="1817" max="1817" width="15.5703125" style="73" customWidth="1"/>
    <col min="1818" max="2049" width="9.140625" style="73"/>
    <col min="2050" max="2050" width="6.85546875" style="73" customWidth="1"/>
    <col min="2051" max="2051" width="2.140625" style="73" customWidth="1"/>
    <col min="2052" max="2052" width="6.140625" style="73" customWidth="1"/>
    <col min="2053" max="2053" width="8.85546875" style="73" customWidth="1"/>
    <col min="2054" max="2054" width="28.42578125" style="73" customWidth="1"/>
    <col min="2055" max="2055" width="13.85546875" style="73" customWidth="1"/>
    <col min="2056" max="2056" width="8.42578125" style="73" customWidth="1"/>
    <col min="2057" max="2060" width="0" style="73" hidden="1" customWidth="1"/>
    <col min="2061" max="2061" width="5.28515625" style="73" customWidth="1"/>
    <col min="2062" max="2062" width="5.5703125" style="73" customWidth="1"/>
    <col min="2063" max="2063" width="6" style="73" customWidth="1"/>
    <col min="2064" max="2064" width="5.5703125" style="73" customWidth="1"/>
    <col min="2065" max="2066" width="5.7109375" style="73" customWidth="1"/>
    <col min="2067" max="2067" width="9.85546875" style="73" customWidth="1"/>
    <col min="2068" max="2068" width="9.7109375" style="73" customWidth="1"/>
    <col min="2069" max="2069" width="8.85546875" style="73" customWidth="1"/>
    <col min="2070" max="2070" width="10" style="73" customWidth="1"/>
    <col min="2071" max="2071" width="8.28515625" style="73" customWidth="1"/>
    <col min="2072" max="2072" width="9.5703125" style="73" customWidth="1"/>
    <col min="2073" max="2073" width="15.5703125" style="73" customWidth="1"/>
    <col min="2074" max="2305" width="9.140625" style="73"/>
    <col min="2306" max="2306" width="6.85546875" style="73" customWidth="1"/>
    <col min="2307" max="2307" width="2.140625" style="73" customWidth="1"/>
    <col min="2308" max="2308" width="6.140625" style="73" customWidth="1"/>
    <col min="2309" max="2309" width="8.85546875" style="73" customWidth="1"/>
    <col min="2310" max="2310" width="28.42578125" style="73" customWidth="1"/>
    <col min="2311" max="2311" width="13.85546875" style="73" customWidth="1"/>
    <col min="2312" max="2312" width="8.42578125" style="73" customWidth="1"/>
    <col min="2313" max="2316" width="0" style="73" hidden="1" customWidth="1"/>
    <col min="2317" max="2317" width="5.28515625" style="73" customWidth="1"/>
    <col min="2318" max="2318" width="5.5703125" style="73" customWidth="1"/>
    <col min="2319" max="2319" width="6" style="73" customWidth="1"/>
    <col min="2320" max="2320" width="5.5703125" style="73" customWidth="1"/>
    <col min="2321" max="2322" width="5.7109375" style="73" customWidth="1"/>
    <col min="2323" max="2323" width="9.85546875" style="73" customWidth="1"/>
    <col min="2324" max="2324" width="9.7109375" style="73" customWidth="1"/>
    <col min="2325" max="2325" width="8.85546875" style="73" customWidth="1"/>
    <col min="2326" max="2326" width="10" style="73" customWidth="1"/>
    <col min="2327" max="2327" width="8.28515625" style="73" customWidth="1"/>
    <col min="2328" max="2328" width="9.5703125" style="73" customWidth="1"/>
    <col min="2329" max="2329" width="15.5703125" style="73" customWidth="1"/>
    <col min="2330" max="2561" width="9.140625" style="73"/>
    <col min="2562" max="2562" width="6.85546875" style="73" customWidth="1"/>
    <col min="2563" max="2563" width="2.140625" style="73" customWidth="1"/>
    <col min="2564" max="2564" width="6.140625" style="73" customWidth="1"/>
    <col min="2565" max="2565" width="8.85546875" style="73" customWidth="1"/>
    <col min="2566" max="2566" width="28.42578125" style="73" customWidth="1"/>
    <col min="2567" max="2567" width="13.85546875" style="73" customWidth="1"/>
    <col min="2568" max="2568" width="8.42578125" style="73" customWidth="1"/>
    <col min="2569" max="2572" width="0" style="73" hidden="1" customWidth="1"/>
    <col min="2573" max="2573" width="5.28515625" style="73" customWidth="1"/>
    <col min="2574" max="2574" width="5.5703125" style="73" customWidth="1"/>
    <col min="2575" max="2575" width="6" style="73" customWidth="1"/>
    <col min="2576" max="2576" width="5.5703125" style="73" customWidth="1"/>
    <col min="2577" max="2578" width="5.7109375" style="73" customWidth="1"/>
    <col min="2579" max="2579" width="9.85546875" style="73" customWidth="1"/>
    <col min="2580" max="2580" width="9.7109375" style="73" customWidth="1"/>
    <col min="2581" max="2581" width="8.85546875" style="73" customWidth="1"/>
    <col min="2582" max="2582" width="10" style="73" customWidth="1"/>
    <col min="2583" max="2583" width="8.28515625" style="73" customWidth="1"/>
    <col min="2584" max="2584" width="9.5703125" style="73" customWidth="1"/>
    <col min="2585" max="2585" width="15.5703125" style="73" customWidth="1"/>
    <col min="2586" max="2817" width="9.140625" style="73"/>
    <col min="2818" max="2818" width="6.85546875" style="73" customWidth="1"/>
    <col min="2819" max="2819" width="2.140625" style="73" customWidth="1"/>
    <col min="2820" max="2820" width="6.140625" style="73" customWidth="1"/>
    <col min="2821" max="2821" width="8.85546875" style="73" customWidth="1"/>
    <col min="2822" max="2822" width="28.42578125" style="73" customWidth="1"/>
    <col min="2823" max="2823" width="13.85546875" style="73" customWidth="1"/>
    <col min="2824" max="2824" width="8.42578125" style="73" customWidth="1"/>
    <col min="2825" max="2828" width="0" style="73" hidden="1" customWidth="1"/>
    <col min="2829" max="2829" width="5.28515625" style="73" customWidth="1"/>
    <col min="2830" max="2830" width="5.5703125" style="73" customWidth="1"/>
    <col min="2831" max="2831" width="6" style="73" customWidth="1"/>
    <col min="2832" max="2832" width="5.5703125" style="73" customWidth="1"/>
    <col min="2833" max="2834" width="5.7109375" style="73" customWidth="1"/>
    <col min="2835" max="2835" width="9.85546875" style="73" customWidth="1"/>
    <col min="2836" max="2836" width="9.7109375" style="73" customWidth="1"/>
    <col min="2837" max="2837" width="8.85546875" style="73" customWidth="1"/>
    <col min="2838" max="2838" width="10" style="73" customWidth="1"/>
    <col min="2839" max="2839" width="8.28515625" style="73" customWidth="1"/>
    <col min="2840" max="2840" width="9.5703125" style="73" customWidth="1"/>
    <col min="2841" max="2841" width="15.5703125" style="73" customWidth="1"/>
    <col min="2842" max="3073" width="9.140625" style="73"/>
    <col min="3074" max="3074" width="6.85546875" style="73" customWidth="1"/>
    <col min="3075" max="3075" width="2.140625" style="73" customWidth="1"/>
    <col min="3076" max="3076" width="6.140625" style="73" customWidth="1"/>
    <col min="3077" max="3077" width="8.85546875" style="73" customWidth="1"/>
    <col min="3078" max="3078" width="28.42578125" style="73" customWidth="1"/>
    <col min="3079" max="3079" width="13.85546875" style="73" customWidth="1"/>
    <col min="3080" max="3080" width="8.42578125" style="73" customWidth="1"/>
    <col min="3081" max="3084" width="0" style="73" hidden="1" customWidth="1"/>
    <col min="3085" max="3085" width="5.28515625" style="73" customWidth="1"/>
    <col min="3086" max="3086" width="5.5703125" style="73" customWidth="1"/>
    <col min="3087" max="3087" width="6" style="73" customWidth="1"/>
    <col min="3088" max="3088" width="5.5703125" style="73" customWidth="1"/>
    <col min="3089" max="3090" width="5.7109375" style="73" customWidth="1"/>
    <col min="3091" max="3091" width="9.85546875" style="73" customWidth="1"/>
    <col min="3092" max="3092" width="9.7109375" style="73" customWidth="1"/>
    <col min="3093" max="3093" width="8.85546875" style="73" customWidth="1"/>
    <col min="3094" max="3094" width="10" style="73" customWidth="1"/>
    <col min="3095" max="3095" width="8.28515625" style="73" customWidth="1"/>
    <col min="3096" max="3096" width="9.5703125" style="73" customWidth="1"/>
    <col min="3097" max="3097" width="15.5703125" style="73" customWidth="1"/>
    <col min="3098" max="3329" width="9.140625" style="73"/>
    <col min="3330" max="3330" width="6.85546875" style="73" customWidth="1"/>
    <col min="3331" max="3331" width="2.140625" style="73" customWidth="1"/>
    <col min="3332" max="3332" width="6.140625" style="73" customWidth="1"/>
    <col min="3333" max="3333" width="8.85546875" style="73" customWidth="1"/>
    <col min="3334" max="3334" width="28.42578125" style="73" customWidth="1"/>
    <col min="3335" max="3335" width="13.85546875" style="73" customWidth="1"/>
    <col min="3336" max="3336" width="8.42578125" style="73" customWidth="1"/>
    <col min="3337" max="3340" width="0" style="73" hidden="1" customWidth="1"/>
    <col min="3341" max="3341" width="5.28515625" style="73" customWidth="1"/>
    <col min="3342" max="3342" width="5.5703125" style="73" customWidth="1"/>
    <col min="3343" max="3343" width="6" style="73" customWidth="1"/>
    <col min="3344" max="3344" width="5.5703125" style="73" customWidth="1"/>
    <col min="3345" max="3346" width="5.7109375" style="73" customWidth="1"/>
    <col min="3347" max="3347" width="9.85546875" style="73" customWidth="1"/>
    <col min="3348" max="3348" width="9.7109375" style="73" customWidth="1"/>
    <col min="3349" max="3349" width="8.85546875" style="73" customWidth="1"/>
    <col min="3350" max="3350" width="10" style="73" customWidth="1"/>
    <col min="3351" max="3351" width="8.28515625" style="73" customWidth="1"/>
    <col min="3352" max="3352" width="9.5703125" style="73" customWidth="1"/>
    <col min="3353" max="3353" width="15.5703125" style="73" customWidth="1"/>
    <col min="3354" max="3585" width="9.140625" style="73"/>
    <col min="3586" max="3586" width="6.85546875" style="73" customWidth="1"/>
    <col min="3587" max="3587" width="2.140625" style="73" customWidth="1"/>
    <col min="3588" max="3588" width="6.140625" style="73" customWidth="1"/>
    <col min="3589" max="3589" width="8.85546875" style="73" customWidth="1"/>
    <col min="3590" max="3590" width="28.42578125" style="73" customWidth="1"/>
    <col min="3591" max="3591" width="13.85546875" style="73" customWidth="1"/>
    <col min="3592" max="3592" width="8.42578125" style="73" customWidth="1"/>
    <col min="3593" max="3596" width="0" style="73" hidden="1" customWidth="1"/>
    <col min="3597" max="3597" width="5.28515625" style="73" customWidth="1"/>
    <col min="3598" max="3598" width="5.5703125" style="73" customWidth="1"/>
    <col min="3599" max="3599" width="6" style="73" customWidth="1"/>
    <col min="3600" max="3600" width="5.5703125" style="73" customWidth="1"/>
    <col min="3601" max="3602" width="5.7109375" style="73" customWidth="1"/>
    <col min="3603" max="3603" width="9.85546875" style="73" customWidth="1"/>
    <col min="3604" max="3604" width="9.7109375" style="73" customWidth="1"/>
    <col min="3605" max="3605" width="8.85546875" style="73" customWidth="1"/>
    <col min="3606" max="3606" width="10" style="73" customWidth="1"/>
    <col min="3607" max="3607" width="8.28515625" style="73" customWidth="1"/>
    <col min="3608" max="3608" width="9.5703125" style="73" customWidth="1"/>
    <col min="3609" max="3609" width="15.5703125" style="73" customWidth="1"/>
    <col min="3610" max="3841" width="9.140625" style="73"/>
    <col min="3842" max="3842" width="6.85546875" style="73" customWidth="1"/>
    <col min="3843" max="3843" width="2.140625" style="73" customWidth="1"/>
    <col min="3844" max="3844" width="6.140625" style="73" customWidth="1"/>
    <col min="3845" max="3845" width="8.85546875" style="73" customWidth="1"/>
    <col min="3846" max="3846" width="28.42578125" style="73" customWidth="1"/>
    <col min="3847" max="3847" width="13.85546875" style="73" customWidth="1"/>
    <col min="3848" max="3848" width="8.42578125" style="73" customWidth="1"/>
    <col min="3849" max="3852" width="0" style="73" hidden="1" customWidth="1"/>
    <col min="3853" max="3853" width="5.28515625" style="73" customWidth="1"/>
    <col min="3854" max="3854" width="5.5703125" style="73" customWidth="1"/>
    <col min="3855" max="3855" width="6" style="73" customWidth="1"/>
    <col min="3856" max="3856" width="5.5703125" style="73" customWidth="1"/>
    <col min="3857" max="3858" width="5.7109375" style="73" customWidth="1"/>
    <col min="3859" max="3859" width="9.85546875" style="73" customWidth="1"/>
    <col min="3860" max="3860" width="9.7109375" style="73" customWidth="1"/>
    <col min="3861" max="3861" width="8.85546875" style="73" customWidth="1"/>
    <col min="3862" max="3862" width="10" style="73" customWidth="1"/>
    <col min="3863" max="3863" width="8.28515625" style="73" customWidth="1"/>
    <col min="3864" max="3864" width="9.5703125" style="73" customWidth="1"/>
    <col min="3865" max="3865" width="15.5703125" style="73" customWidth="1"/>
    <col min="3866" max="4097" width="9.140625" style="73"/>
    <col min="4098" max="4098" width="6.85546875" style="73" customWidth="1"/>
    <col min="4099" max="4099" width="2.140625" style="73" customWidth="1"/>
    <col min="4100" max="4100" width="6.140625" style="73" customWidth="1"/>
    <col min="4101" max="4101" width="8.85546875" style="73" customWidth="1"/>
    <col min="4102" max="4102" width="28.42578125" style="73" customWidth="1"/>
    <col min="4103" max="4103" width="13.85546875" style="73" customWidth="1"/>
    <col min="4104" max="4104" width="8.42578125" style="73" customWidth="1"/>
    <col min="4105" max="4108" width="0" style="73" hidden="1" customWidth="1"/>
    <col min="4109" max="4109" width="5.28515625" style="73" customWidth="1"/>
    <col min="4110" max="4110" width="5.5703125" style="73" customWidth="1"/>
    <col min="4111" max="4111" width="6" style="73" customWidth="1"/>
    <col min="4112" max="4112" width="5.5703125" style="73" customWidth="1"/>
    <col min="4113" max="4114" width="5.7109375" style="73" customWidth="1"/>
    <col min="4115" max="4115" width="9.85546875" style="73" customWidth="1"/>
    <col min="4116" max="4116" width="9.7109375" style="73" customWidth="1"/>
    <col min="4117" max="4117" width="8.85546875" style="73" customWidth="1"/>
    <col min="4118" max="4118" width="10" style="73" customWidth="1"/>
    <col min="4119" max="4119" width="8.28515625" style="73" customWidth="1"/>
    <col min="4120" max="4120" width="9.5703125" style="73" customWidth="1"/>
    <col min="4121" max="4121" width="15.5703125" style="73" customWidth="1"/>
    <col min="4122" max="4353" width="9.140625" style="73"/>
    <col min="4354" max="4354" width="6.85546875" style="73" customWidth="1"/>
    <col min="4355" max="4355" width="2.140625" style="73" customWidth="1"/>
    <col min="4356" max="4356" width="6.140625" style="73" customWidth="1"/>
    <col min="4357" max="4357" width="8.85546875" style="73" customWidth="1"/>
    <col min="4358" max="4358" width="28.42578125" style="73" customWidth="1"/>
    <col min="4359" max="4359" width="13.85546875" style="73" customWidth="1"/>
    <col min="4360" max="4360" width="8.42578125" style="73" customWidth="1"/>
    <col min="4361" max="4364" width="0" style="73" hidden="1" customWidth="1"/>
    <col min="4365" max="4365" width="5.28515625" style="73" customWidth="1"/>
    <col min="4366" max="4366" width="5.5703125" style="73" customWidth="1"/>
    <col min="4367" max="4367" width="6" style="73" customWidth="1"/>
    <col min="4368" max="4368" width="5.5703125" style="73" customWidth="1"/>
    <col min="4369" max="4370" width="5.7109375" style="73" customWidth="1"/>
    <col min="4371" max="4371" width="9.85546875" style="73" customWidth="1"/>
    <col min="4372" max="4372" width="9.7109375" style="73" customWidth="1"/>
    <col min="4373" max="4373" width="8.85546875" style="73" customWidth="1"/>
    <col min="4374" max="4374" width="10" style="73" customWidth="1"/>
    <col min="4375" max="4375" width="8.28515625" style="73" customWidth="1"/>
    <col min="4376" max="4376" width="9.5703125" style="73" customWidth="1"/>
    <col min="4377" max="4377" width="15.5703125" style="73" customWidth="1"/>
    <col min="4378" max="4609" width="9.140625" style="73"/>
    <col min="4610" max="4610" width="6.85546875" style="73" customWidth="1"/>
    <col min="4611" max="4611" width="2.140625" style="73" customWidth="1"/>
    <col min="4612" max="4612" width="6.140625" style="73" customWidth="1"/>
    <col min="4613" max="4613" width="8.85546875" style="73" customWidth="1"/>
    <col min="4614" max="4614" width="28.42578125" style="73" customWidth="1"/>
    <col min="4615" max="4615" width="13.85546875" style="73" customWidth="1"/>
    <col min="4616" max="4616" width="8.42578125" style="73" customWidth="1"/>
    <col min="4617" max="4620" width="0" style="73" hidden="1" customWidth="1"/>
    <col min="4621" max="4621" width="5.28515625" style="73" customWidth="1"/>
    <col min="4622" max="4622" width="5.5703125" style="73" customWidth="1"/>
    <col min="4623" max="4623" width="6" style="73" customWidth="1"/>
    <col min="4624" max="4624" width="5.5703125" style="73" customWidth="1"/>
    <col min="4625" max="4626" width="5.7109375" style="73" customWidth="1"/>
    <col min="4627" max="4627" width="9.85546875" style="73" customWidth="1"/>
    <col min="4628" max="4628" width="9.7109375" style="73" customWidth="1"/>
    <col min="4629" max="4629" width="8.85546875" style="73" customWidth="1"/>
    <col min="4630" max="4630" width="10" style="73" customWidth="1"/>
    <col min="4631" max="4631" width="8.28515625" style="73" customWidth="1"/>
    <col min="4632" max="4632" width="9.5703125" style="73" customWidth="1"/>
    <col min="4633" max="4633" width="15.5703125" style="73" customWidth="1"/>
    <col min="4634" max="4865" width="9.140625" style="73"/>
    <col min="4866" max="4866" width="6.85546875" style="73" customWidth="1"/>
    <col min="4867" max="4867" width="2.140625" style="73" customWidth="1"/>
    <col min="4868" max="4868" width="6.140625" style="73" customWidth="1"/>
    <col min="4869" max="4869" width="8.85546875" style="73" customWidth="1"/>
    <col min="4870" max="4870" width="28.42578125" style="73" customWidth="1"/>
    <col min="4871" max="4871" width="13.85546875" style="73" customWidth="1"/>
    <col min="4872" max="4872" width="8.42578125" style="73" customWidth="1"/>
    <col min="4873" max="4876" width="0" style="73" hidden="1" customWidth="1"/>
    <col min="4877" max="4877" width="5.28515625" style="73" customWidth="1"/>
    <col min="4878" max="4878" width="5.5703125" style="73" customWidth="1"/>
    <col min="4879" max="4879" width="6" style="73" customWidth="1"/>
    <col min="4880" max="4880" width="5.5703125" style="73" customWidth="1"/>
    <col min="4881" max="4882" width="5.7109375" style="73" customWidth="1"/>
    <col min="4883" max="4883" width="9.85546875" style="73" customWidth="1"/>
    <col min="4884" max="4884" width="9.7109375" style="73" customWidth="1"/>
    <col min="4885" max="4885" width="8.85546875" style="73" customWidth="1"/>
    <col min="4886" max="4886" width="10" style="73" customWidth="1"/>
    <col min="4887" max="4887" width="8.28515625" style="73" customWidth="1"/>
    <col min="4888" max="4888" width="9.5703125" style="73" customWidth="1"/>
    <col min="4889" max="4889" width="15.5703125" style="73" customWidth="1"/>
    <col min="4890" max="5121" width="9.140625" style="73"/>
    <col min="5122" max="5122" width="6.85546875" style="73" customWidth="1"/>
    <col min="5123" max="5123" width="2.140625" style="73" customWidth="1"/>
    <col min="5124" max="5124" width="6.140625" style="73" customWidth="1"/>
    <col min="5125" max="5125" width="8.85546875" style="73" customWidth="1"/>
    <col min="5126" max="5126" width="28.42578125" style="73" customWidth="1"/>
    <col min="5127" max="5127" width="13.85546875" style="73" customWidth="1"/>
    <col min="5128" max="5128" width="8.42578125" style="73" customWidth="1"/>
    <col min="5129" max="5132" width="0" style="73" hidden="1" customWidth="1"/>
    <col min="5133" max="5133" width="5.28515625" style="73" customWidth="1"/>
    <col min="5134" max="5134" width="5.5703125" style="73" customWidth="1"/>
    <col min="5135" max="5135" width="6" style="73" customWidth="1"/>
    <col min="5136" max="5136" width="5.5703125" style="73" customWidth="1"/>
    <col min="5137" max="5138" width="5.7109375" style="73" customWidth="1"/>
    <col min="5139" max="5139" width="9.85546875" style="73" customWidth="1"/>
    <col min="5140" max="5140" width="9.7109375" style="73" customWidth="1"/>
    <col min="5141" max="5141" width="8.85546875" style="73" customWidth="1"/>
    <col min="5142" max="5142" width="10" style="73" customWidth="1"/>
    <col min="5143" max="5143" width="8.28515625" style="73" customWidth="1"/>
    <col min="5144" max="5144" width="9.5703125" style="73" customWidth="1"/>
    <col min="5145" max="5145" width="15.5703125" style="73" customWidth="1"/>
    <col min="5146" max="5377" width="9.140625" style="73"/>
    <col min="5378" max="5378" width="6.85546875" style="73" customWidth="1"/>
    <col min="5379" max="5379" width="2.140625" style="73" customWidth="1"/>
    <col min="5380" max="5380" width="6.140625" style="73" customWidth="1"/>
    <col min="5381" max="5381" width="8.85546875" style="73" customWidth="1"/>
    <col min="5382" max="5382" width="28.42578125" style="73" customWidth="1"/>
    <col min="5383" max="5383" width="13.85546875" style="73" customWidth="1"/>
    <col min="5384" max="5384" width="8.42578125" style="73" customWidth="1"/>
    <col min="5385" max="5388" width="0" style="73" hidden="1" customWidth="1"/>
    <col min="5389" max="5389" width="5.28515625" style="73" customWidth="1"/>
    <col min="5390" max="5390" width="5.5703125" style="73" customWidth="1"/>
    <col min="5391" max="5391" width="6" style="73" customWidth="1"/>
    <col min="5392" max="5392" width="5.5703125" style="73" customWidth="1"/>
    <col min="5393" max="5394" width="5.7109375" style="73" customWidth="1"/>
    <col min="5395" max="5395" width="9.85546875" style="73" customWidth="1"/>
    <col min="5396" max="5396" width="9.7109375" style="73" customWidth="1"/>
    <col min="5397" max="5397" width="8.85546875" style="73" customWidth="1"/>
    <col min="5398" max="5398" width="10" style="73" customWidth="1"/>
    <col min="5399" max="5399" width="8.28515625" style="73" customWidth="1"/>
    <col min="5400" max="5400" width="9.5703125" style="73" customWidth="1"/>
    <col min="5401" max="5401" width="15.5703125" style="73" customWidth="1"/>
    <col min="5402" max="5633" width="9.140625" style="73"/>
    <col min="5634" max="5634" width="6.85546875" style="73" customWidth="1"/>
    <col min="5635" max="5635" width="2.140625" style="73" customWidth="1"/>
    <col min="5636" max="5636" width="6.140625" style="73" customWidth="1"/>
    <col min="5637" max="5637" width="8.85546875" style="73" customWidth="1"/>
    <col min="5638" max="5638" width="28.42578125" style="73" customWidth="1"/>
    <col min="5639" max="5639" width="13.85546875" style="73" customWidth="1"/>
    <col min="5640" max="5640" width="8.42578125" style="73" customWidth="1"/>
    <col min="5641" max="5644" width="0" style="73" hidden="1" customWidth="1"/>
    <col min="5645" max="5645" width="5.28515625" style="73" customWidth="1"/>
    <col min="5646" max="5646" width="5.5703125" style="73" customWidth="1"/>
    <col min="5647" max="5647" width="6" style="73" customWidth="1"/>
    <col min="5648" max="5648" width="5.5703125" style="73" customWidth="1"/>
    <col min="5649" max="5650" width="5.7109375" style="73" customWidth="1"/>
    <col min="5651" max="5651" width="9.85546875" style="73" customWidth="1"/>
    <col min="5652" max="5652" width="9.7109375" style="73" customWidth="1"/>
    <col min="5653" max="5653" width="8.85546875" style="73" customWidth="1"/>
    <col min="5654" max="5654" width="10" style="73" customWidth="1"/>
    <col min="5655" max="5655" width="8.28515625" style="73" customWidth="1"/>
    <col min="5656" max="5656" width="9.5703125" style="73" customWidth="1"/>
    <col min="5657" max="5657" width="15.5703125" style="73" customWidth="1"/>
    <col min="5658" max="5889" width="9.140625" style="73"/>
    <col min="5890" max="5890" width="6.85546875" style="73" customWidth="1"/>
    <col min="5891" max="5891" width="2.140625" style="73" customWidth="1"/>
    <col min="5892" max="5892" width="6.140625" style="73" customWidth="1"/>
    <col min="5893" max="5893" width="8.85546875" style="73" customWidth="1"/>
    <col min="5894" max="5894" width="28.42578125" style="73" customWidth="1"/>
    <col min="5895" max="5895" width="13.85546875" style="73" customWidth="1"/>
    <col min="5896" max="5896" width="8.42578125" style="73" customWidth="1"/>
    <col min="5897" max="5900" width="0" style="73" hidden="1" customWidth="1"/>
    <col min="5901" max="5901" width="5.28515625" style="73" customWidth="1"/>
    <col min="5902" max="5902" width="5.5703125" style="73" customWidth="1"/>
    <col min="5903" max="5903" width="6" style="73" customWidth="1"/>
    <col min="5904" max="5904" width="5.5703125" style="73" customWidth="1"/>
    <col min="5905" max="5906" width="5.7109375" style="73" customWidth="1"/>
    <col min="5907" max="5907" width="9.85546875" style="73" customWidth="1"/>
    <col min="5908" max="5908" width="9.7109375" style="73" customWidth="1"/>
    <col min="5909" max="5909" width="8.85546875" style="73" customWidth="1"/>
    <col min="5910" max="5910" width="10" style="73" customWidth="1"/>
    <col min="5911" max="5911" width="8.28515625" style="73" customWidth="1"/>
    <col min="5912" max="5912" width="9.5703125" style="73" customWidth="1"/>
    <col min="5913" max="5913" width="15.5703125" style="73" customWidth="1"/>
    <col min="5914" max="6145" width="9.140625" style="73"/>
    <col min="6146" max="6146" width="6.85546875" style="73" customWidth="1"/>
    <col min="6147" max="6147" width="2.140625" style="73" customWidth="1"/>
    <col min="6148" max="6148" width="6.140625" style="73" customWidth="1"/>
    <col min="6149" max="6149" width="8.85546875" style="73" customWidth="1"/>
    <col min="6150" max="6150" width="28.42578125" style="73" customWidth="1"/>
    <col min="6151" max="6151" width="13.85546875" style="73" customWidth="1"/>
    <col min="6152" max="6152" width="8.42578125" style="73" customWidth="1"/>
    <col min="6153" max="6156" width="0" style="73" hidden="1" customWidth="1"/>
    <col min="6157" max="6157" width="5.28515625" style="73" customWidth="1"/>
    <col min="6158" max="6158" width="5.5703125" style="73" customWidth="1"/>
    <col min="6159" max="6159" width="6" style="73" customWidth="1"/>
    <col min="6160" max="6160" width="5.5703125" style="73" customWidth="1"/>
    <col min="6161" max="6162" width="5.7109375" style="73" customWidth="1"/>
    <col min="6163" max="6163" width="9.85546875" style="73" customWidth="1"/>
    <col min="6164" max="6164" width="9.7109375" style="73" customWidth="1"/>
    <col min="6165" max="6165" width="8.85546875" style="73" customWidth="1"/>
    <col min="6166" max="6166" width="10" style="73" customWidth="1"/>
    <col min="6167" max="6167" width="8.28515625" style="73" customWidth="1"/>
    <col min="6168" max="6168" width="9.5703125" style="73" customWidth="1"/>
    <col min="6169" max="6169" width="15.5703125" style="73" customWidth="1"/>
    <col min="6170" max="6401" width="9.140625" style="73"/>
    <col min="6402" max="6402" width="6.85546875" style="73" customWidth="1"/>
    <col min="6403" max="6403" width="2.140625" style="73" customWidth="1"/>
    <col min="6404" max="6404" width="6.140625" style="73" customWidth="1"/>
    <col min="6405" max="6405" width="8.85546875" style="73" customWidth="1"/>
    <col min="6406" max="6406" width="28.42578125" style="73" customWidth="1"/>
    <col min="6407" max="6407" width="13.85546875" style="73" customWidth="1"/>
    <col min="6408" max="6408" width="8.42578125" style="73" customWidth="1"/>
    <col min="6409" max="6412" width="0" style="73" hidden="1" customWidth="1"/>
    <col min="6413" max="6413" width="5.28515625" style="73" customWidth="1"/>
    <col min="6414" max="6414" width="5.5703125" style="73" customWidth="1"/>
    <col min="6415" max="6415" width="6" style="73" customWidth="1"/>
    <col min="6416" max="6416" width="5.5703125" style="73" customWidth="1"/>
    <col min="6417" max="6418" width="5.7109375" style="73" customWidth="1"/>
    <col min="6419" max="6419" width="9.85546875" style="73" customWidth="1"/>
    <col min="6420" max="6420" width="9.7109375" style="73" customWidth="1"/>
    <col min="6421" max="6421" width="8.85546875" style="73" customWidth="1"/>
    <col min="6422" max="6422" width="10" style="73" customWidth="1"/>
    <col min="6423" max="6423" width="8.28515625" style="73" customWidth="1"/>
    <col min="6424" max="6424" width="9.5703125" style="73" customWidth="1"/>
    <col min="6425" max="6425" width="15.5703125" style="73" customWidth="1"/>
    <col min="6426" max="6657" width="9.140625" style="73"/>
    <col min="6658" max="6658" width="6.85546875" style="73" customWidth="1"/>
    <col min="6659" max="6659" width="2.140625" style="73" customWidth="1"/>
    <col min="6660" max="6660" width="6.140625" style="73" customWidth="1"/>
    <col min="6661" max="6661" width="8.85546875" style="73" customWidth="1"/>
    <col min="6662" max="6662" width="28.42578125" style="73" customWidth="1"/>
    <col min="6663" max="6663" width="13.85546875" style="73" customWidth="1"/>
    <col min="6664" max="6664" width="8.42578125" style="73" customWidth="1"/>
    <col min="6665" max="6668" width="0" style="73" hidden="1" customWidth="1"/>
    <col min="6669" max="6669" width="5.28515625" style="73" customWidth="1"/>
    <col min="6670" max="6670" width="5.5703125" style="73" customWidth="1"/>
    <col min="6671" max="6671" width="6" style="73" customWidth="1"/>
    <col min="6672" max="6672" width="5.5703125" style="73" customWidth="1"/>
    <col min="6673" max="6674" width="5.7109375" style="73" customWidth="1"/>
    <col min="6675" max="6675" width="9.85546875" style="73" customWidth="1"/>
    <col min="6676" max="6676" width="9.7109375" style="73" customWidth="1"/>
    <col min="6677" max="6677" width="8.85546875" style="73" customWidth="1"/>
    <col min="6678" max="6678" width="10" style="73" customWidth="1"/>
    <col min="6679" max="6679" width="8.28515625" style="73" customWidth="1"/>
    <col min="6680" max="6680" width="9.5703125" style="73" customWidth="1"/>
    <col min="6681" max="6681" width="15.5703125" style="73" customWidth="1"/>
    <col min="6682" max="6913" width="9.140625" style="73"/>
    <col min="6914" max="6914" width="6.85546875" style="73" customWidth="1"/>
    <col min="6915" max="6915" width="2.140625" style="73" customWidth="1"/>
    <col min="6916" max="6916" width="6.140625" style="73" customWidth="1"/>
    <col min="6917" max="6917" width="8.85546875" style="73" customWidth="1"/>
    <col min="6918" max="6918" width="28.42578125" style="73" customWidth="1"/>
    <col min="6919" max="6919" width="13.85546875" style="73" customWidth="1"/>
    <col min="6920" max="6920" width="8.42578125" style="73" customWidth="1"/>
    <col min="6921" max="6924" width="0" style="73" hidden="1" customWidth="1"/>
    <col min="6925" max="6925" width="5.28515625" style="73" customWidth="1"/>
    <col min="6926" max="6926" width="5.5703125" style="73" customWidth="1"/>
    <col min="6927" max="6927" width="6" style="73" customWidth="1"/>
    <col min="6928" max="6928" width="5.5703125" style="73" customWidth="1"/>
    <col min="6929" max="6930" width="5.7109375" style="73" customWidth="1"/>
    <col min="6931" max="6931" width="9.85546875" style="73" customWidth="1"/>
    <col min="6932" max="6932" width="9.7109375" style="73" customWidth="1"/>
    <col min="6933" max="6933" width="8.85546875" style="73" customWidth="1"/>
    <col min="6934" max="6934" width="10" style="73" customWidth="1"/>
    <col min="6935" max="6935" width="8.28515625" style="73" customWidth="1"/>
    <col min="6936" max="6936" width="9.5703125" style="73" customWidth="1"/>
    <col min="6937" max="6937" width="15.5703125" style="73" customWidth="1"/>
    <col min="6938" max="7169" width="9.140625" style="73"/>
    <col min="7170" max="7170" width="6.85546875" style="73" customWidth="1"/>
    <col min="7171" max="7171" width="2.140625" style="73" customWidth="1"/>
    <col min="7172" max="7172" width="6.140625" style="73" customWidth="1"/>
    <col min="7173" max="7173" width="8.85546875" style="73" customWidth="1"/>
    <col min="7174" max="7174" width="28.42578125" style="73" customWidth="1"/>
    <col min="7175" max="7175" width="13.85546875" style="73" customWidth="1"/>
    <col min="7176" max="7176" width="8.42578125" style="73" customWidth="1"/>
    <col min="7177" max="7180" width="0" style="73" hidden="1" customWidth="1"/>
    <col min="7181" max="7181" width="5.28515625" style="73" customWidth="1"/>
    <col min="7182" max="7182" width="5.5703125" style="73" customWidth="1"/>
    <col min="7183" max="7183" width="6" style="73" customWidth="1"/>
    <col min="7184" max="7184" width="5.5703125" style="73" customWidth="1"/>
    <col min="7185" max="7186" width="5.7109375" style="73" customWidth="1"/>
    <col min="7187" max="7187" width="9.85546875" style="73" customWidth="1"/>
    <col min="7188" max="7188" width="9.7109375" style="73" customWidth="1"/>
    <col min="7189" max="7189" width="8.85546875" style="73" customWidth="1"/>
    <col min="7190" max="7190" width="10" style="73" customWidth="1"/>
    <col min="7191" max="7191" width="8.28515625" style="73" customWidth="1"/>
    <col min="7192" max="7192" width="9.5703125" style="73" customWidth="1"/>
    <col min="7193" max="7193" width="15.5703125" style="73" customWidth="1"/>
    <col min="7194" max="7425" width="9.140625" style="73"/>
    <col min="7426" max="7426" width="6.85546875" style="73" customWidth="1"/>
    <col min="7427" max="7427" width="2.140625" style="73" customWidth="1"/>
    <col min="7428" max="7428" width="6.140625" style="73" customWidth="1"/>
    <col min="7429" max="7429" width="8.85546875" style="73" customWidth="1"/>
    <col min="7430" max="7430" width="28.42578125" style="73" customWidth="1"/>
    <col min="7431" max="7431" width="13.85546875" style="73" customWidth="1"/>
    <col min="7432" max="7432" width="8.42578125" style="73" customWidth="1"/>
    <col min="7433" max="7436" width="0" style="73" hidden="1" customWidth="1"/>
    <col min="7437" max="7437" width="5.28515625" style="73" customWidth="1"/>
    <col min="7438" max="7438" width="5.5703125" style="73" customWidth="1"/>
    <col min="7439" max="7439" width="6" style="73" customWidth="1"/>
    <col min="7440" max="7440" width="5.5703125" style="73" customWidth="1"/>
    <col min="7441" max="7442" width="5.7109375" style="73" customWidth="1"/>
    <col min="7443" max="7443" width="9.85546875" style="73" customWidth="1"/>
    <col min="7444" max="7444" width="9.7109375" style="73" customWidth="1"/>
    <col min="7445" max="7445" width="8.85546875" style="73" customWidth="1"/>
    <col min="7446" max="7446" width="10" style="73" customWidth="1"/>
    <col min="7447" max="7447" width="8.28515625" style="73" customWidth="1"/>
    <col min="7448" max="7448" width="9.5703125" style="73" customWidth="1"/>
    <col min="7449" max="7449" width="15.5703125" style="73" customWidth="1"/>
    <col min="7450" max="7681" width="9.140625" style="73"/>
    <col min="7682" max="7682" width="6.85546875" style="73" customWidth="1"/>
    <col min="7683" max="7683" width="2.140625" style="73" customWidth="1"/>
    <col min="7684" max="7684" width="6.140625" style="73" customWidth="1"/>
    <col min="7685" max="7685" width="8.85546875" style="73" customWidth="1"/>
    <col min="7686" max="7686" width="28.42578125" style="73" customWidth="1"/>
    <col min="7687" max="7687" width="13.85546875" style="73" customWidth="1"/>
    <col min="7688" max="7688" width="8.42578125" style="73" customWidth="1"/>
    <col min="7689" max="7692" width="0" style="73" hidden="1" customWidth="1"/>
    <col min="7693" max="7693" width="5.28515625" style="73" customWidth="1"/>
    <col min="7694" max="7694" width="5.5703125" style="73" customWidth="1"/>
    <col min="7695" max="7695" width="6" style="73" customWidth="1"/>
    <col min="7696" max="7696" width="5.5703125" style="73" customWidth="1"/>
    <col min="7697" max="7698" width="5.7109375" style="73" customWidth="1"/>
    <col min="7699" max="7699" width="9.85546875" style="73" customWidth="1"/>
    <col min="7700" max="7700" width="9.7109375" style="73" customWidth="1"/>
    <col min="7701" max="7701" width="8.85546875" style="73" customWidth="1"/>
    <col min="7702" max="7702" width="10" style="73" customWidth="1"/>
    <col min="7703" max="7703" width="8.28515625" style="73" customWidth="1"/>
    <col min="7704" max="7704" width="9.5703125" style="73" customWidth="1"/>
    <col min="7705" max="7705" width="15.5703125" style="73" customWidth="1"/>
    <col min="7706" max="7937" width="9.140625" style="73"/>
    <col min="7938" max="7938" width="6.85546875" style="73" customWidth="1"/>
    <col min="7939" max="7939" width="2.140625" style="73" customWidth="1"/>
    <col min="7940" max="7940" width="6.140625" style="73" customWidth="1"/>
    <col min="7941" max="7941" width="8.85546875" style="73" customWidth="1"/>
    <col min="7942" max="7942" width="28.42578125" style="73" customWidth="1"/>
    <col min="7943" max="7943" width="13.85546875" style="73" customWidth="1"/>
    <col min="7944" max="7944" width="8.42578125" style="73" customWidth="1"/>
    <col min="7945" max="7948" width="0" style="73" hidden="1" customWidth="1"/>
    <col min="7949" max="7949" width="5.28515625" style="73" customWidth="1"/>
    <col min="7950" max="7950" width="5.5703125" style="73" customWidth="1"/>
    <col min="7951" max="7951" width="6" style="73" customWidth="1"/>
    <col min="7952" max="7952" width="5.5703125" style="73" customWidth="1"/>
    <col min="7953" max="7954" width="5.7109375" style="73" customWidth="1"/>
    <col min="7955" max="7955" width="9.85546875" style="73" customWidth="1"/>
    <col min="7956" max="7956" width="9.7109375" style="73" customWidth="1"/>
    <col min="7957" max="7957" width="8.85546875" style="73" customWidth="1"/>
    <col min="7958" max="7958" width="10" style="73" customWidth="1"/>
    <col min="7959" max="7959" width="8.28515625" style="73" customWidth="1"/>
    <col min="7960" max="7960" width="9.5703125" style="73" customWidth="1"/>
    <col min="7961" max="7961" width="15.5703125" style="73" customWidth="1"/>
    <col min="7962" max="8193" width="9.140625" style="73"/>
    <col min="8194" max="8194" width="6.85546875" style="73" customWidth="1"/>
    <col min="8195" max="8195" width="2.140625" style="73" customWidth="1"/>
    <col min="8196" max="8196" width="6.140625" style="73" customWidth="1"/>
    <col min="8197" max="8197" width="8.85546875" style="73" customWidth="1"/>
    <col min="8198" max="8198" width="28.42578125" style="73" customWidth="1"/>
    <col min="8199" max="8199" width="13.85546875" style="73" customWidth="1"/>
    <col min="8200" max="8200" width="8.42578125" style="73" customWidth="1"/>
    <col min="8201" max="8204" width="0" style="73" hidden="1" customWidth="1"/>
    <col min="8205" max="8205" width="5.28515625" style="73" customWidth="1"/>
    <col min="8206" max="8206" width="5.5703125" style="73" customWidth="1"/>
    <col min="8207" max="8207" width="6" style="73" customWidth="1"/>
    <col min="8208" max="8208" width="5.5703125" style="73" customWidth="1"/>
    <col min="8209" max="8210" width="5.7109375" style="73" customWidth="1"/>
    <col min="8211" max="8211" width="9.85546875" style="73" customWidth="1"/>
    <col min="8212" max="8212" width="9.7109375" style="73" customWidth="1"/>
    <col min="8213" max="8213" width="8.85546875" style="73" customWidth="1"/>
    <col min="8214" max="8214" width="10" style="73" customWidth="1"/>
    <col min="8215" max="8215" width="8.28515625" style="73" customWidth="1"/>
    <col min="8216" max="8216" width="9.5703125" style="73" customWidth="1"/>
    <col min="8217" max="8217" width="15.5703125" style="73" customWidth="1"/>
    <col min="8218" max="8449" width="9.140625" style="73"/>
    <col min="8450" max="8450" width="6.85546875" style="73" customWidth="1"/>
    <col min="8451" max="8451" width="2.140625" style="73" customWidth="1"/>
    <col min="8452" max="8452" width="6.140625" style="73" customWidth="1"/>
    <col min="8453" max="8453" width="8.85546875" style="73" customWidth="1"/>
    <col min="8454" max="8454" width="28.42578125" style="73" customWidth="1"/>
    <col min="8455" max="8455" width="13.85546875" style="73" customWidth="1"/>
    <col min="8456" max="8456" width="8.42578125" style="73" customWidth="1"/>
    <col min="8457" max="8460" width="0" style="73" hidden="1" customWidth="1"/>
    <col min="8461" max="8461" width="5.28515625" style="73" customWidth="1"/>
    <col min="8462" max="8462" width="5.5703125" style="73" customWidth="1"/>
    <col min="8463" max="8463" width="6" style="73" customWidth="1"/>
    <col min="8464" max="8464" width="5.5703125" style="73" customWidth="1"/>
    <col min="8465" max="8466" width="5.7109375" style="73" customWidth="1"/>
    <col min="8467" max="8467" width="9.85546875" style="73" customWidth="1"/>
    <col min="8468" max="8468" width="9.7109375" style="73" customWidth="1"/>
    <col min="8469" max="8469" width="8.85546875" style="73" customWidth="1"/>
    <col min="8470" max="8470" width="10" style="73" customWidth="1"/>
    <col min="8471" max="8471" width="8.28515625" style="73" customWidth="1"/>
    <col min="8472" max="8472" width="9.5703125" style="73" customWidth="1"/>
    <col min="8473" max="8473" width="15.5703125" style="73" customWidth="1"/>
    <col min="8474" max="8705" width="9.140625" style="73"/>
    <col min="8706" max="8706" width="6.85546875" style="73" customWidth="1"/>
    <col min="8707" max="8707" width="2.140625" style="73" customWidth="1"/>
    <col min="8708" max="8708" width="6.140625" style="73" customWidth="1"/>
    <col min="8709" max="8709" width="8.85546875" style="73" customWidth="1"/>
    <col min="8710" max="8710" width="28.42578125" style="73" customWidth="1"/>
    <col min="8711" max="8711" width="13.85546875" style="73" customWidth="1"/>
    <col min="8712" max="8712" width="8.42578125" style="73" customWidth="1"/>
    <col min="8713" max="8716" width="0" style="73" hidden="1" customWidth="1"/>
    <col min="8717" max="8717" width="5.28515625" style="73" customWidth="1"/>
    <col min="8718" max="8718" width="5.5703125" style="73" customWidth="1"/>
    <col min="8719" max="8719" width="6" style="73" customWidth="1"/>
    <col min="8720" max="8720" width="5.5703125" style="73" customWidth="1"/>
    <col min="8721" max="8722" width="5.7109375" style="73" customWidth="1"/>
    <col min="8723" max="8723" width="9.85546875" style="73" customWidth="1"/>
    <col min="8724" max="8724" width="9.7109375" style="73" customWidth="1"/>
    <col min="8725" max="8725" width="8.85546875" style="73" customWidth="1"/>
    <col min="8726" max="8726" width="10" style="73" customWidth="1"/>
    <col min="8727" max="8727" width="8.28515625" style="73" customWidth="1"/>
    <col min="8728" max="8728" width="9.5703125" style="73" customWidth="1"/>
    <col min="8729" max="8729" width="15.5703125" style="73" customWidth="1"/>
    <col min="8730" max="8961" width="9.140625" style="73"/>
    <col min="8962" max="8962" width="6.85546875" style="73" customWidth="1"/>
    <col min="8963" max="8963" width="2.140625" style="73" customWidth="1"/>
    <col min="8964" max="8964" width="6.140625" style="73" customWidth="1"/>
    <col min="8965" max="8965" width="8.85546875" style="73" customWidth="1"/>
    <col min="8966" max="8966" width="28.42578125" style="73" customWidth="1"/>
    <col min="8967" max="8967" width="13.85546875" style="73" customWidth="1"/>
    <col min="8968" max="8968" width="8.42578125" style="73" customWidth="1"/>
    <col min="8969" max="8972" width="0" style="73" hidden="1" customWidth="1"/>
    <col min="8973" max="8973" width="5.28515625" style="73" customWidth="1"/>
    <col min="8974" max="8974" width="5.5703125" style="73" customWidth="1"/>
    <col min="8975" max="8975" width="6" style="73" customWidth="1"/>
    <col min="8976" max="8976" width="5.5703125" style="73" customWidth="1"/>
    <col min="8977" max="8978" width="5.7109375" style="73" customWidth="1"/>
    <col min="8979" max="8979" width="9.85546875" style="73" customWidth="1"/>
    <col min="8980" max="8980" width="9.7109375" style="73" customWidth="1"/>
    <col min="8981" max="8981" width="8.85546875" style="73" customWidth="1"/>
    <col min="8982" max="8982" width="10" style="73" customWidth="1"/>
    <col min="8983" max="8983" width="8.28515625" style="73" customWidth="1"/>
    <col min="8984" max="8984" width="9.5703125" style="73" customWidth="1"/>
    <col min="8985" max="8985" width="15.5703125" style="73" customWidth="1"/>
    <col min="8986" max="9217" width="9.140625" style="73"/>
    <col min="9218" max="9218" width="6.85546875" style="73" customWidth="1"/>
    <col min="9219" max="9219" width="2.140625" style="73" customWidth="1"/>
    <col min="9220" max="9220" width="6.140625" style="73" customWidth="1"/>
    <col min="9221" max="9221" width="8.85546875" style="73" customWidth="1"/>
    <col min="9222" max="9222" width="28.42578125" style="73" customWidth="1"/>
    <col min="9223" max="9223" width="13.85546875" style="73" customWidth="1"/>
    <col min="9224" max="9224" width="8.42578125" style="73" customWidth="1"/>
    <col min="9225" max="9228" width="0" style="73" hidden="1" customWidth="1"/>
    <col min="9229" max="9229" width="5.28515625" style="73" customWidth="1"/>
    <col min="9230" max="9230" width="5.5703125" style="73" customWidth="1"/>
    <col min="9231" max="9231" width="6" style="73" customWidth="1"/>
    <col min="9232" max="9232" width="5.5703125" style="73" customWidth="1"/>
    <col min="9233" max="9234" width="5.7109375" style="73" customWidth="1"/>
    <col min="9235" max="9235" width="9.85546875" style="73" customWidth="1"/>
    <col min="9236" max="9236" width="9.7109375" style="73" customWidth="1"/>
    <col min="9237" max="9237" width="8.85546875" style="73" customWidth="1"/>
    <col min="9238" max="9238" width="10" style="73" customWidth="1"/>
    <col min="9239" max="9239" width="8.28515625" style="73" customWidth="1"/>
    <col min="9240" max="9240" width="9.5703125" style="73" customWidth="1"/>
    <col min="9241" max="9241" width="15.5703125" style="73" customWidth="1"/>
    <col min="9242" max="9473" width="9.140625" style="73"/>
    <col min="9474" max="9474" width="6.85546875" style="73" customWidth="1"/>
    <col min="9475" max="9475" width="2.140625" style="73" customWidth="1"/>
    <col min="9476" max="9476" width="6.140625" style="73" customWidth="1"/>
    <col min="9477" max="9477" width="8.85546875" style="73" customWidth="1"/>
    <col min="9478" max="9478" width="28.42578125" style="73" customWidth="1"/>
    <col min="9479" max="9479" width="13.85546875" style="73" customWidth="1"/>
    <col min="9480" max="9480" width="8.42578125" style="73" customWidth="1"/>
    <col min="9481" max="9484" width="0" style="73" hidden="1" customWidth="1"/>
    <col min="9485" max="9485" width="5.28515625" style="73" customWidth="1"/>
    <col min="9486" max="9486" width="5.5703125" style="73" customWidth="1"/>
    <col min="9487" max="9487" width="6" style="73" customWidth="1"/>
    <col min="9488" max="9488" width="5.5703125" style="73" customWidth="1"/>
    <col min="9489" max="9490" width="5.7109375" style="73" customWidth="1"/>
    <col min="9491" max="9491" width="9.85546875" style="73" customWidth="1"/>
    <col min="9492" max="9492" width="9.7109375" style="73" customWidth="1"/>
    <col min="9493" max="9493" width="8.85546875" style="73" customWidth="1"/>
    <col min="9494" max="9494" width="10" style="73" customWidth="1"/>
    <col min="9495" max="9495" width="8.28515625" style="73" customWidth="1"/>
    <col min="9496" max="9496" width="9.5703125" style="73" customWidth="1"/>
    <col min="9497" max="9497" width="15.5703125" style="73" customWidth="1"/>
    <col min="9498" max="9729" width="9.140625" style="73"/>
    <col min="9730" max="9730" width="6.85546875" style="73" customWidth="1"/>
    <col min="9731" max="9731" width="2.140625" style="73" customWidth="1"/>
    <col min="9732" max="9732" width="6.140625" style="73" customWidth="1"/>
    <col min="9733" max="9733" width="8.85546875" style="73" customWidth="1"/>
    <col min="9734" max="9734" width="28.42578125" style="73" customWidth="1"/>
    <col min="9735" max="9735" width="13.85546875" style="73" customWidth="1"/>
    <col min="9736" max="9736" width="8.42578125" style="73" customWidth="1"/>
    <col min="9737" max="9740" width="0" style="73" hidden="1" customWidth="1"/>
    <col min="9741" max="9741" width="5.28515625" style="73" customWidth="1"/>
    <col min="9742" max="9742" width="5.5703125" style="73" customWidth="1"/>
    <col min="9743" max="9743" width="6" style="73" customWidth="1"/>
    <col min="9744" max="9744" width="5.5703125" style="73" customWidth="1"/>
    <col min="9745" max="9746" width="5.7109375" style="73" customWidth="1"/>
    <col min="9747" max="9747" width="9.85546875" style="73" customWidth="1"/>
    <col min="9748" max="9748" width="9.7109375" style="73" customWidth="1"/>
    <col min="9749" max="9749" width="8.85546875" style="73" customWidth="1"/>
    <col min="9750" max="9750" width="10" style="73" customWidth="1"/>
    <col min="9751" max="9751" width="8.28515625" style="73" customWidth="1"/>
    <col min="9752" max="9752" width="9.5703125" style="73" customWidth="1"/>
    <col min="9753" max="9753" width="15.5703125" style="73" customWidth="1"/>
    <col min="9754" max="9985" width="9.140625" style="73"/>
    <col min="9986" max="9986" width="6.85546875" style="73" customWidth="1"/>
    <col min="9987" max="9987" width="2.140625" style="73" customWidth="1"/>
    <col min="9988" max="9988" width="6.140625" style="73" customWidth="1"/>
    <col min="9989" max="9989" width="8.85546875" style="73" customWidth="1"/>
    <col min="9990" max="9990" width="28.42578125" style="73" customWidth="1"/>
    <col min="9991" max="9991" width="13.85546875" style="73" customWidth="1"/>
    <col min="9992" max="9992" width="8.42578125" style="73" customWidth="1"/>
    <col min="9993" max="9996" width="0" style="73" hidden="1" customWidth="1"/>
    <col min="9997" max="9997" width="5.28515625" style="73" customWidth="1"/>
    <col min="9998" max="9998" width="5.5703125" style="73" customWidth="1"/>
    <col min="9999" max="9999" width="6" style="73" customWidth="1"/>
    <col min="10000" max="10000" width="5.5703125" style="73" customWidth="1"/>
    <col min="10001" max="10002" width="5.7109375" style="73" customWidth="1"/>
    <col min="10003" max="10003" width="9.85546875" style="73" customWidth="1"/>
    <col min="10004" max="10004" width="9.7109375" style="73" customWidth="1"/>
    <col min="10005" max="10005" width="8.85546875" style="73" customWidth="1"/>
    <col min="10006" max="10006" width="10" style="73" customWidth="1"/>
    <col min="10007" max="10007" width="8.28515625" style="73" customWidth="1"/>
    <col min="10008" max="10008" width="9.5703125" style="73" customWidth="1"/>
    <col min="10009" max="10009" width="15.5703125" style="73" customWidth="1"/>
    <col min="10010" max="10241" width="9.140625" style="73"/>
    <col min="10242" max="10242" width="6.85546875" style="73" customWidth="1"/>
    <col min="10243" max="10243" width="2.140625" style="73" customWidth="1"/>
    <col min="10244" max="10244" width="6.140625" style="73" customWidth="1"/>
    <col min="10245" max="10245" width="8.85546875" style="73" customWidth="1"/>
    <col min="10246" max="10246" width="28.42578125" style="73" customWidth="1"/>
    <col min="10247" max="10247" width="13.85546875" style="73" customWidth="1"/>
    <col min="10248" max="10248" width="8.42578125" style="73" customWidth="1"/>
    <col min="10249" max="10252" width="0" style="73" hidden="1" customWidth="1"/>
    <col min="10253" max="10253" width="5.28515625" style="73" customWidth="1"/>
    <col min="10254" max="10254" width="5.5703125" style="73" customWidth="1"/>
    <col min="10255" max="10255" width="6" style="73" customWidth="1"/>
    <col min="10256" max="10256" width="5.5703125" style="73" customWidth="1"/>
    <col min="10257" max="10258" width="5.7109375" style="73" customWidth="1"/>
    <col min="10259" max="10259" width="9.85546875" style="73" customWidth="1"/>
    <col min="10260" max="10260" width="9.7109375" style="73" customWidth="1"/>
    <col min="10261" max="10261" width="8.85546875" style="73" customWidth="1"/>
    <col min="10262" max="10262" width="10" style="73" customWidth="1"/>
    <col min="10263" max="10263" width="8.28515625" style="73" customWidth="1"/>
    <col min="10264" max="10264" width="9.5703125" style="73" customWidth="1"/>
    <col min="10265" max="10265" width="15.5703125" style="73" customWidth="1"/>
    <col min="10266" max="10497" width="9.140625" style="73"/>
    <col min="10498" max="10498" width="6.85546875" style="73" customWidth="1"/>
    <col min="10499" max="10499" width="2.140625" style="73" customWidth="1"/>
    <col min="10500" max="10500" width="6.140625" style="73" customWidth="1"/>
    <col min="10501" max="10501" width="8.85546875" style="73" customWidth="1"/>
    <col min="10502" max="10502" width="28.42578125" style="73" customWidth="1"/>
    <col min="10503" max="10503" width="13.85546875" style="73" customWidth="1"/>
    <col min="10504" max="10504" width="8.42578125" style="73" customWidth="1"/>
    <col min="10505" max="10508" width="0" style="73" hidden="1" customWidth="1"/>
    <col min="10509" max="10509" width="5.28515625" style="73" customWidth="1"/>
    <col min="10510" max="10510" width="5.5703125" style="73" customWidth="1"/>
    <col min="10511" max="10511" width="6" style="73" customWidth="1"/>
    <col min="10512" max="10512" width="5.5703125" style="73" customWidth="1"/>
    <col min="10513" max="10514" width="5.7109375" style="73" customWidth="1"/>
    <col min="10515" max="10515" width="9.85546875" style="73" customWidth="1"/>
    <col min="10516" max="10516" width="9.7109375" style="73" customWidth="1"/>
    <col min="10517" max="10517" width="8.85546875" style="73" customWidth="1"/>
    <col min="10518" max="10518" width="10" style="73" customWidth="1"/>
    <col min="10519" max="10519" width="8.28515625" style="73" customWidth="1"/>
    <col min="10520" max="10520" width="9.5703125" style="73" customWidth="1"/>
    <col min="10521" max="10521" width="15.5703125" style="73" customWidth="1"/>
    <col min="10522" max="10753" width="9.140625" style="73"/>
    <col min="10754" max="10754" width="6.85546875" style="73" customWidth="1"/>
    <col min="10755" max="10755" width="2.140625" style="73" customWidth="1"/>
    <col min="10756" max="10756" width="6.140625" style="73" customWidth="1"/>
    <col min="10757" max="10757" width="8.85546875" style="73" customWidth="1"/>
    <col min="10758" max="10758" width="28.42578125" style="73" customWidth="1"/>
    <col min="10759" max="10759" width="13.85546875" style="73" customWidth="1"/>
    <col min="10760" max="10760" width="8.42578125" style="73" customWidth="1"/>
    <col min="10761" max="10764" width="0" style="73" hidden="1" customWidth="1"/>
    <col min="10765" max="10765" width="5.28515625" style="73" customWidth="1"/>
    <col min="10766" max="10766" width="5.5703125" style="73" customWidth="1"/>
    <col min="10767" max="10767" width="6" style="73" customWidth="1"/>
    <col min="10768" max="10768" width="5.5703125" style="73" customWidth="1"/>
    <col min="10769" max="10770" width="5.7109375" style="73" customWidth="1"/>
    <col min="10771" max="10771" width="9.85546875" style="73" customWidth="1"/>
    <col min="10772" max="10772" width="9.7109375" style="73" customWidth="1"/>
    <col min="10773" max="10773" width="8.85546875" style="73" customWidth="1"/>
    <col min="10774" max="10774" width="10" style="73" customWidth="1"/>
    <col min="10775" max="10775" width="8.28515625" style="73" customWidth="1"/>
    <col min="10776" max="10776" width="9.5703125" style="73" customWidth="1"/>
    <col min="10777" max="10777" width="15.5703125" style="73" customWidth="1"/>
    <col min="10778" max="11009" width="9.140625" style="73"/>
    <col min="11010" max="11010" width="6.85546875" style="73" customWidth="1"/>
    <col min="11011" max="11011" width="2.140625" style="73" customWidth="1"/>
    <col min="11012" max="11012" width="6.140625" style="73" customWidth="1"/>
    <col min="11013" max="11013" width="8.85546875" style="73" customWidth="1"/>
    <col min="11014" max="11014" width="28.42578125" style="73" customWidth="1"/>
    <col min="11015" max="11015" width="13.85546875" style="73" customWidth="1"/>
    <col min="11016" max="11016" width="8.42578125" style="73" customWidth="1"/>
    <col min="11017" max="11020" width="0" style="73" hidden="1" customWidth="1"/>
    <col min="11021" max="11021" width="5.28515625" style="73" customWidth="1"/>
    <col min="11022" max="11022" width="5.5703125" style="73" customWidth="1"/>
    <col min="11023" max="11023" width="6" style="73" customWidth="1"/>
    <col min="11024" max="11024" width="5.5703125" style="73" customWidth="1"/>
    <col min="11025" max="11026" width="5.7109375" style="73" customWidth="1"/>
    <col min="11027" max="11027" width="9.85546875" style="73" customWidth="1"/>
    <col min="11028" max="11028" width="9.7109375" style="73" customWidth="1"/>
    <col min="11029" max="11029" width="8.85546875" style="73" customWidth="1"/>
    <col min="11030" max="11030" width="10" style="73" customWidth="1"/>
    <col min="11031" max="11031" width="8.28515625" style="73" customWidth="1"/>
    <col min="11032" max="11032" width="9.5703125" style="73" customWidth="1"/>
    <col min="11033" max="11033" width="15.5703125" style="73" customWidth="1"/>
    <col min="11034" max="11265" width="9.140625" style="73"/>
    <col min="11266" max="11266" width="6.85546875" style="73" customWidth="1"/>
    <col min="11267" max="11267" width="2.140625" style="73" customWidth="1"/>
    <col min="11268" max="11268" width="6.140625" style="73" customWidth="1"/>
    <col min="11269" max="11269" width="8.85546875" style="73" customWidth="1"/>
    <col min="11270" max="11270" width="28.42578125" style="73" customWidth="1"/>
    <col min="11271" max="11271" width="13.85546875" style="73" customWidth="1"/>
    <col min="11272" max="11272" width="8.42578125" style="73" customWidth="1"/>
    <col min="11273" max="11276" width="0" style="73" hidden="1" customWidth="1"/>
    <col min="11277" max="11277" width="5.28515625" style="73" customWidth="1"/>
    <col min="11278" max="11278" width="5.5703125" style="73" customWidth="1"/>
    <col min="11279" max="11279" width="6" style="73" customWidth="1"/>
    <col min="11280" max="11280" width="5.5703125" style="73" customWidth="1"/>
    <col min="11281" max="11282" width="5.7109375" style="73" customWidth="1"/>
    <col min="11283" max="11283" width="9.85546875" style="73" customWidth="1"/>
    <col min="11284" max="11284" width="9.7109375" style="73" customWidth="1"/>
    <col min="11285" max="11285" width="8.85546875" style="73" customWidth="1"/>
    <col min="11286" max="11286" width="10" style="73" customWidth="1"/>
    <col min="11287" max="11287" width="8.28515625" style="73" customWidth="1"/>
    <col min="11288" max="11288" width="9.5703125" style="73" customWidth="1"/>
    <col min="11289" max="11289" width="15.5703125" style="73" customWidth="1"/>
    <col min="11290" max="11521" width="9.140625" style="73"/>
    <col min="11522" max="11522" width="6.85546875" style="73" customWidth="1"/>
    <col min="11523" max="11523" width="2.140625" style="73" customWidth="1"/>
    <col min="11524" max="11524" width="6.140625" style="73" customWidth="1"/>
    <col min="11525" max="11525" width="8.85546875" style="73" customWidth="1"/>
    <col min="11526" max="11526" width="28.42578125" style="73" customWidth="1"/>
    <col min="11527" max="11527" width="13.85546875" style="73" customWidth="1"/>
    <col min="11528" max="11528" width="8.42578125" style="73" customWidth="1"/>
    <col min="11529" max="11532" width="0" style="73" hidden="1" customWidth="1"/>
    <col min="11533" max="11533" width="5.28515625" style="73" customWidth="1"/>
    <col min="11534" max="11534" width="5.5703125" style="73" customWidth="1"/>
    <col min="11535" max="11535" width="6" style="73" customWidth="1"/>
    <col min="11536" max="11536" width="5.5703125" style="73" customWidth="1"/>
    <col min="11537" max="11538" width="5.7109375" style="73" customWidth="1"/>
    <col min="11539" max="11539" width="9.85546875" style="73" customWidth="1"/>
    <col min="11540" max="11540" width="9.7109375" style="73" customWidth="1"/>
    <col min="11541" max="11541" width="8.85546875" style="73" customWidth="1"/>
    <col min="11542" max="11542" width="10" style="73" customWidth="1"/>
    <col min="11543" max="11543" width="8.28515625" style="73" customWidth="1"/>
    <col min="11544" max="11544" width="9.5703125" style="73" customWidth="1"/>
    <col min="11545" max="11545" width="15.5703125" style="73" customWidth="1"/>
    <col min="11546" max="11777" width="9.140625" style="73"/>
    <col min="11778" max="11778" width="6.85546875" style="73" customWidth="1"/>
    <col min="11779" max="11779" width="2.140625" style="73" customWidth="1"/>
    <col min="11780" max="11780" width="6.140625" style="73" customWidth="1"/>
    <col min="11781" max="11781" width="8.85546875" style="73" customWidth="1"/>
    <col min="11782" max="11782" width="28.42578125" style="73" customWidth="1"/>
    <col min="11783" max="11783" width="13.85546875" style="73" customWidth="1"/>
    <col min="11784" max="11784" width="8.42578125" style="73" customWidth="1"/>
    <col min="11785" max="11788" width="0" style="73" hidden="1" customWidth="1"/>
    <col min="11789" max="11789" width="5.28515625" style="73" customWidth="1"/>
    <col min="11790" max="11790" width="5.5703125" style="73" customWidth="1"/>
    <col min="11791" max="11791" width="6" style="73" customWidth="1"/>
    <col min="11792" max="11792" width="5.5703125" style="73" customWidth="1"/>
    <col min="11793" max="11794" width="5.7109375" style="73" customWidth="1"/>
    <col min="11795" max="11795" width="9.85546875" style="73" customWidth="1"/>
    <col min="11796" max="11796" width="9.7109375" style="73" customWidth="1"/>
    <col min="11797" max="11797" width="8.85546875" style="73" customWidth="1"/>
    <col min="11798" max="11798" width="10" style="73" customWidth="1"/>
    <col min="11799" max="11799" width="8.28515625" style="73" customWidth="1"/>
    <col min="11800" max="11800" width="9.5703125" style="73" customWidth="1"/>
    <col min="11801" max="11801" width="15.5703125" style="73" customWidth="1"/>
    <col min="11802" max="12033" width="9.140625" style="73"/>
    <col min="12034" max="12034" width="6.85546875" style="73" customWidth="1"/>
    <col min="12035" max="12035" width="2.140625" style="73" customWidth="1"/>
    <col min="12036" max="12036" width="6.140625" style="73" customWidth="1"/>
    <col min="12037" max="12037" width="8.85546875" style="73" customWidth="1"/>
    <col min="12038" max="12038" width="28.42578125" style="73" customWidth="1"/>
    <col min="12039" max="12039" width="13.85546875" style="73" customWidth="1"/>
    <col min="12040" max="12040" width="8.42578125" style="73" customWidth="1"/>
    <col min="12041" max="12044" width="0" style="73" hidden="1" customWidth="1"/>
    <col min="12045" max="12045" width="5.28515625" style="73" customWidth="1"/>
    <col min="12046" max="12046" width="5.5703125" style="73" customWidth="1"/>
    <col min="12047" max="12047" width="6" style="73" customWidth="1"/>
    <col min="12048" max="12048" width="5.5703125" style="73" customWidth="1"/>
    <col min="12049" max="12050" width="5.7109375" style="73" customWidth="1"/>
    <col min="12051" max="12051" width="9.85546875" style="73" customWidth="1"/>
    <col min="12052" max="12052" width="9.7109375" style="73" customWidth="1"/>
    <col min="12053" max="12053" width="8.85546875" style="73" customWidth="1"/>
    <col min="12054" max="12054" width="10" style="73" customWidth="1"/>
    <col min="12055" max="12055" width="8.28515625" style="73" customWidth="1"/>
    <col min="12056" max="12056" width="9.5703125" style="73" customWidth="1"/>
    <col min="12057" max="12057" width="15.5703125" style="73" customWidth="1"/>
    <col min="12058" max="12289" width="9.140625" style="73"/>
    <col min="12290" max="12290" width="6.85546875" style="73" customWidth="1"/>
    <col min="12291" max="12291" width="2.140625" style="73" customWidth="1"/>
    <col min="12292" max="12292" width="6.140625" style="73" customWidth="1"/>
    <col min="12293" max="12293" width="8.85546875" style="73" customWidth="1"/>
    <col min="12294" max="12294" width="28.42578125" style="73" customWidth="1"/>
    <col min="12295" max="12295" width="13.85546875" style="73" customWidth="1"/>
    <col min="12296" max="12296" width="8.42578125" style="73" customWidth="1"/>
    <col min="12297" max="12300" width="0" style="73" hidden="1" customWidth="1"/>
    <col min="12301" max="12301" width="5.28515625" style="73" customWidth="1"/>
    <col min="12302" max="12302" width="5.5703125" style="73" customWidth="1"/>
    <col min="12303" max="12303" width="6" style="73" customWidth="1"/>
    <col min="12304" max="12304" width="5.5703125" style="73" customWidth="1"/>
    <col min="12305" max="12306" width="5.7109375" style="73" customWidth="1"/>
    <col min="12307" max="12307" width="9.85546875" style="73" customWidth="1"/>
    <col min="12308" max="12308" width="9.7109375" style="73" customWidth="1"/>
    <col min="12309" max="12309" width="8.85546875" style="73" customWidth="1"/>
    <col min="12310" max="12310" width="10" style="73" customWidth="1"/>
    <col min="12311" max="12311" width="8.28515625" style="73" customWidth="1"/>
    <col min="12312" max="12312" width="9.5703125" style="73" customWidth="1"/>
    <col min="12313" max="12313" width="15.5703125" style="73" customWidth="1"/>
    <col min="12314" max="12545" width="9.140625" style="73"/>
    <col min="12546" max="12546" width="6.85546875" style="73" customWidth="1"/>
    <col min="12547" max="12547" width="2.140625" style="73" customWidth="1"/>
    <col min="12548" max="12548" width="6.140625" style="73" customWidth="1"/>
    <col min="12549" max="12549" width="8.85546875" style="73" customWidth="1"/>
    <col min="12550" max="12550" width="28.42578125" style="73" customWidth="1"/>
    <col min="12551" max="12551" width="13.85546875" style="73" customWidth="1"/>
    <col min="12552" max="12552" width="8.42578125" style="73" customWidth="1"/>
    <col min="12553" max="12556" width="0" style="73" hidden="1" customWidth="1"/>
    <col min="12557" max="12557" width="5.28515625" style="73" customWidth="1"/>
    <col min="12558" max="12558" width="5.5703125" style="73" customWidth="1"/>
    <col min="12559" max="12559" width="6" style="73" customWidth="1"/>
    <col min="12560" max="12560" width="5.5703125" style="73" customWidth="1"/>
    <col min="12561" max="12562" width="5.7109375" style="73" customWidth="1"/>
    <col min="12563" max="12563" width="9.85546875" style="73" customWidth="1"/>
    <col min="12564" max="12564" width="9.7109375" style="73" customWidth="1"/>
    <col min="12565" max="12565" width="8.85546875" style="73" customWidth="1"/>
    <col min="12566" max="12566" width="10" style="73" customWidth="1"/>
    <col min="12567" max="12567" width="8.28515625" style="73" customWidth="1"/>
    <col min="12568" max="12568" width="9.5703125" style="73" customWidth="1"/>
    <col min="12569" max="12569" width="15.5703125" style="73" customWidth="1"/>
    <col min="12570" max="12801" width="9.140625" style="73"/>
    <col min="12802" max="12802" width="6.85546875" style="73" customWidth="1"/>
    <col min="12803" max="12803" width="2.140625" style="73" customWidth="1"/>
    <col min="12804" max="12804" width="6.140625" style="73" customWidth="1"/>
    <col min="12805" max="12805" width="8.85546875" style="73" customWidth="1"/>
    <col min="12806" max="12806" width="28.42578125" style="73" customWidth="1"/>
    <col min="12807" max="12807" width="13.85546875" style="73" customWidth="1"/>
    <col min="12808" max="12808" width="8.42578125" style="73" customWidth="1"/>
    <col min="12809" max="12812" width="0" style="73" hidden="1" customWidth="1"/>
    <col min="12813" max="12813" width="5.28515625" style="73" customWidth="1"/>
    <col min="12814" max="12814" width="5.5703125" style="73" customWidth="1"/>
    <col min="12815" max="12815" width="6" style="73" customWidth="1"/>
    <col min="12816" max="12816" width="5.5703125" style="73" customWidth="1"/>
    <col min="12817" max="12818" width="5.7109375" style="73" customWidth="1"/>
    <col min="12819" max="12819" width="9.85546875" style="73" customWidth="1"/>
    <col min="12820" max="12820" width="9.7109375" style="73" customWidth="1"/>
    <col min="12821" max="12821" width="8.85546875" style="73" customWidth="1"/>
    <col min="12822" max="12822" width="10" style="73" customWidth="1"/>
    <col min="12823" max="12823" width="8.28515625" style="73" customWidth="1"/>
    <col min="12824" max="12824" width="9.5703125" style="73" customWidth="1"/>
    <col min="12825" max="12825" width="15.5703125" style="73" customWidth="1"/>
    <col min="12826" max="13057" width="9.140625" style="73"/>
    <col min="13058" max="13058" width="6.85546875" style="73" customWidth="1"/>
    <col min="13059" max="13059" width="2.140625" style="73" customWidth="1"/>
    <col min="13060" max="13060" width="6.140625" style="73" customWidth="1"/>
    <col min="13061" max="13061" width="8.85546875" style="73" customWidth="1"/>
    <col min="13062" max="13062" width="28.42578125" style="73" customWidth="1"/>
    <col min="13063" max="13063" width="13.85546875" style="73" customWidth="1"/>
    <col min="13064" max="13064" width="8.42578125" style="73" customWidth="1"/>
    <col min="13065" max="13068" width="0" style="73" hidden="1" customWidth="1"/>
    <col min="13069" max="13069" width="5.28515625" style="73" customWidth="1"/>
    <col min="13070" max="13070" width="5.5703125" style="73" customWidth="1"/>
    <col min="13071" max="13071" width="6" style="73" customWidth="1"/>
    <col min="13072" max="13072" width="5.5703125" style="73" customWidth="1"/>
    <col min="13073" max="13074" width="5.7109375" style="73" customWidth="1"/>
    <col min="13075" max="13075" width="9.85546875" style="73" customWidth="1"/>
    <col min="13076" max="13076" width="9.7109375" style="73" customWidth="1"/>
    <col min="13077" max="13077" width="8.85546875" style="73" customWidth="1"/>
    <col min="13078" max="13078" width="10" style="73" customWidth="1"/>
    <col min="13079" max="13079" width="8.28515625" style="73" customWidth="1"/>
    <col min="13080" max="13080" width="9.5703125" style="73" customWidth="1"/>
    <col min="13081" max="13081" width="15.5703125" style="73" customWidth="1"/>
    <col min="13082" max="13313" width="9.140625" style="73"/>
    <col min="13314" max="13314" width="6.85546875" style="73" customWidth="1"/>
    <col min="13315" max="13315" width="2.140625" style="73" customWidth="1"/>
    <col min="13316" max="13316" width="6.140625" style="73" customWidth="1"/>
    <col min="13317" max="13317" width="8.85546875" style="73" customWidth="1"/>
    <col min="13318" max="13318" width="28.42578125" style="73" customWidth="1"/>
    <col min="13319" max="13319" width="13.85546875" style="73" customWidth="1"/>
    <col min="13320" max="13320" width="8.42578125" style="73" customWidth="1"/>
    <col min="13321" max="13324" width="0" style="73" hidden="1" customWidth="1"/>
    <col min="13325" max="13325" width="5.28515625" style="73" customWidth="1"/>
    <col min="13326" max="13326" width="5.5703125" style="73" customWidth="1"/>
    <col min="13327" max="13327" width="6" style="73" customWidth="1"/>
    <col min="13328" max="13328" width="5.5703125" style="73" customWidth="1"/>
    <col min="13329" max="13330" width="5.7109375" style="73" customWidth="1"/>
    <col min="13331" max="13331" width="9.85546875" style="73" customWidth="1"/>
    <col min="13332" max="13332" width="9.7109375" style="73" customWidth="1"/>
    <col min="13333" max="13333" width="8.85546875" style="73" customWidth="1"/>
    <col min="13334" max="13334" width="10" style="73" customWidth="1"/>
    <col min="13335" max="13335" width="8.28515625" style="73" customWidth="1"/>
    <col min="13336" max="13336" width="9.5703125" style="73" customWidth="1"/>
    <col min="13337" max="13337" width="15.5703125" style="73" customWidth="1"/>
    <col min="13338" max="13569" width="9.140625" style="73"/>
    <col min="13570" max="13570" width="6.85546875" style="73" customWidth="1"/>
    <col min="13571" max="13571" width="2.140625" style="73" customWidth="1"/>
    <col min="13572" max="13572" width="6.140625" style="73" customWidth="1"/>
    <col min="13573" max="13573" width="8.85546875" style="73" customWidth="1"/>
    <col min="13574" max="13574" width="28.42578125" style="73" customWidth="1"/>
    <col min="13575" max="13575" width="13.85546875" style="73" customWidth="1"/>
    <col min="13576" max="13576" width="8.42578125" style="73" customWidth="1"/>
    <col min="13577" max="13580" width="0" style="73" hidden="1" customWidth="1"/>
    <col min="13581" max="13581" width="5.28515625" style="73" customWidth="1"/>
    <col min="13582" max="13582" width="5.5703125" style="73" customWidth="1"/>
    <col min="13583" max="13583" width="6" style="73" customWidth="1"/>
    <col min="13584" max="13584" width="5.5703125" style="73" customWidth="1"/>
    <col min="13585" max="13586" width="5.7109375" style="73" customWidth="1"/>
    <col min="13587" max="13587" width="9.85546875" style="73" customWidth="1"/>
    <col min="13588" max="13588" width="9.7109375" style="73" customWidth="1"/>
    <col min="13589" max="13589" width="8.85546875" style="73" customWidth="1"/>
    <col min="13590" max="13590" width="10" style="73" customWidth="1"/>
    <col min="13591" max="13591" width="8.28515625" style="73" customWidth="1"/>
    <col min="13592" max="13592" width="9.5703125" style="73" customWidth="1"/>
    <col min="13593" max="13593" width="15.5703125" style="73" customWidth="1"/>
    <col min="13594" max="13825" width="9.140625" style="73"/>
    <col min="13826" max="13826" width="6.85546875" style="73" customWidth="1"/>
    <col min="13827" max="13827" width="2.140625" style="73" customWidth="1"/>
    <col min="13828" max="13828" width="6.140625" style="73" customWidth="1"/>
    <col min="13829" max="13829" width="8.85546875" style="73" customWidth="1"/>
    <col min="13830" max="13830" width="28.42578125" style="73" customWidth="1"/>
    <col min="13831" max="13831" width="13.85546875" style="73" customWidth="1"/>
    <col min="13832" max="13832" width="8.42578125" style="73" customWidth="1"/>
    <col min="13833" max="13836" width="0" style="73" hidden="1" customWidth="1"/>
    <col min="13837" max="13837" width="5.28515625" style="73" customWidth="1"/>
    <col min="13838" max="13838" width="5.5703125" style="73" customWidth="1"/>
    <col min="13839" max="13839" width="6" style="73" customWidth="1"/>
    <col min="13840" max="13840" width="5.5703125" style="73" customWidth="1"/>
    <col min="13841" max="13842" width="5.7109375" style="73" customWidth="1"/>
    <col min="13843" max="13843" width="9.85546875" style="73" customWidth="1"/>
    <col min="13844" max="13844" width="9.7109375" style="73" customWidth="1"/>
    <col min="13845" max="13845" width="8.85546875" style="73" customWidth="1"/>
    <col min="13846" max="13846" width="10" style="73" customWidth="1"/>
    <col min="13847" max="13847" width="8.28515625" style="73" customWidth="1"/>
    <col min="13848" max="13848" width="9.5703125" style="73" customWidth="1"/>
    <col min="13849" max="13849" width="15.5703125" style="73" customWidth="1"/>
    <col min="13850" max="14081" width="9.140625" style="73"/>
    <col min="14082" max="14082" width="6.85546875" style="73" customWidth="1"/>
    <col min="14083" max="14083" width="2.140625" style="73" customWidth="1"/>
    <col min="14084" max="14084" width="6.140625" style="73" customWidth="1"/>
    <col min="14085" max="14085" width="8.85546875" style="73" customWidth="1"/>
    <col min="14086" max="14086" width="28.42578125" style="73" customWidth="1"/>
    <col min="14087" max="14087" width="13.85546875" style="73" customWidth="1"/>
    <col min="14088" max="14088" width="8.42578125" style="73" customWidth="1"/>
    <col min="14089" max="14092" width="0" style="73" hidden="1" customWidth="1"/>
    <col min="14093" max="14093" width="5.28515625" style="73" customWidth="1"/>
    <col min="14094" max="14094" width="5.5703125" style="73" customWidth="1"/>
    <col min="14095" max="14095" width="6" style="73" customWidth="1"/>
    <col min="14096" max="14096" width="5.5703125" style="73" customWidth="1"/>
    <col min="14097" max="14098" width="5.7109375" style="73" customWidth="1"/>
    <col min="14099" max="14099" width="9.85546875" style="73" customWidth="1"/>
    <col min="14100" max="14100" width="9.7109375" style="73" customWidth="1"/>
    <col min="14101" max="14101" width="8.85546875" style="73" customWidth="1"/>
    <col min="14102" max="14102" width="10" style="73" customWidth="1"/>
    <col min="14103" max="14103" width="8.28515625" style="73" customWidth="1"/>
    <col min="14104" max="14104" width="9.5703125" style="73" customWidth="1"/>
    <col min="14105" max="14105" width="15.5703125" style="73" customWidth="1"/>
    <col min="14106" max="14337" width="9.140625" style="73"/>
    <col min="14338" max="14338" width="6.85546875" style="73" customWidth="1"/>
    <col min="14339" max="14339" width="2.140625" style="73" customWidth="1"/>
    <col min="14340" max="14340" width="6.140625" style="73" customWidth="1"/>
    <col min="14341" max="14341" width="8.85546875" style="73" customWidth="1"/>
    <col min="14342" max="14342" width="28.42578125" style="73" customWidth="1"/>
    <col min="14343" max="14343" width="13.85546875" style="73" customWidth="1"/>
    <col min="14344" max="14344" width="8.42578125" style="73" customWidth="1"/>
    <col min="14345" max="14348" width="0" style="73" hidden="1" customWidth="1"/>
    <col min="14349" max="14349" width="5.28515625" style="73" customWidth="1"/>
    <col min="14350" max="14350" width="5.5703125" style="73" customWidth="1"/>
    <col min="14351" max="14351" width="6" style="73" customWidth="1"/>
    <col min="14352" max="14352" width="5.5703125" style="73" customWidth="1"/>
    <col min="14353" max="14354" width="5.7109375" style="73" customWidth="1"/>
    <col min="14355" max="14355" width="9.85546875" style="73" customWidth="1"/>
    <col min="14356" max="14356" width="9.7109375" style="73" customWidth="1"/>
    <col min="14357" max="14357" width="8.85546875" style="73" customWidth="1"/>
    <col min="14358" max="14358" width="10" style="73" customWidth="1"/>
    <col min="14359" max="14359" width="8.28515625" style="73" customWidth="1"/>
    <col min="14360" max="14360" width="9.5703125" style="73" customWidth="1"/>
    <col min="14361" max="14361" width="15.5703125" style="73" customWidth="1"/>
    <col min="14362" max="14593" width="9.140625" style="73"/>
    <col min="14594" max="14594" width="6.85546875" style="73" customWidth="1"/>
    <col min="14595" max="14595" width="2.140625" style="73" customWidth="1"/>
    <col min="14596" max="14596" width="6.140625" style="73" customWidth="1"/>
    <col min="14597" max="14597" width="8.85546875" style="73" customWidth="1"/>
    <col min="14598" max="14598" width="28.42578125" style="73" customWidth="1"/>
    <col min="14599" max="14599" width="13.85546875" style="73" customWidth="1"/>
    <col min="14600" max="14600" width="8.42578125" style="73" customWidth="1"/>
    <col min="14601" max="14604" width="0" style="73" hidden="1" customWidth="1"/>
    <col min="14605" max="14605" width="5.28515625" style="73" customWidth="1"/>
    <col min="14606" max="14606" width="5.5703125" style="73" customWidth="1"/>
    <col min="14607" max="14607" width="6" style="73" customWidth="1"/>
    <col min="14608" max="14608" width="5.5703125" style="73" customWidth="1"/>
    <col min="14609" max="14610" width="5.7109375" style="73" customWidth="1"/>
    <col min="14611" max="14611" width="9.85546875" style="73" customWidth="1"/>
    <col min="14612" max="14612" width="9.7109375" style="73" customWidth="1"/>
    <col min="14613" max="14613" width="8.85546875" style="73" customWidth="1"/>
    <col min="14614" max="14614" width="10" style="73" customWidth="1"/>
    <col min="14615" max="14615" width="8.28515625" style="73" customWidth="1"/>
    <col min="14616" max="14616" width="9.5703125" style="73" customWidth="1"/>
    <col min="14617" max="14617" width="15.5703125" style="73" customWidth="1"/>
    <col min="14618" max="14849" width="9.140625" style="73"/>
    <col min="14850" max="14850" width="6.85546875" style="73" customWidth="1"/>
    <col min="14851" max="14851" width="2.140625" style="73" customWidth="1"/>
    <col min="14852" max="14852" width="6.140625" style="73" customWidth="1"/>
    <col min="14853" max="14853" width="8.85546875" style="73" customWidth="1"/>
    <col min="14854" max="14854" width="28.42578125" style="73" customWidth="1"/>
    <col min="14855" max="14855" width="13.85546875" style="73" customWidth="1"/>
    <col min="14856" max="14856" width="8.42578125" style="73" customWidth="1"/>
    <col min="14857" max="14860" width="0" style="73" hidden="1" customWidth="1"/>
    <col min="14861" max="14861" width="5.28515625" style="73" customWidth="1"/>
    <col min="14862" max="14862" width="5.5703125" style="73" customWidth="1"/>
    <col min="14863" max="14863" width="6" style="73" customWidth="1"/>
    <col min="14864" max="14864" width="5.5703125" style="73" customWidth="1"/>
    <col min="14865" max="14866" width="5.7109375" style="73" customWidth="1"/>
    <col min="14867" max="14867" width="9.85546875" style="73" customWidth="1"/>
    <col min="14868" max="14868" width="9.7109375" style="73" customWidth="1"/>
    <col min="14869" max="14869" width="8.85546875" style="73" customWidth="1"/>
    <col min="14870" max="14870" width="10" style="73" customWidth="1"/>
    <col min="14871" max="14871" width="8.28515625" style="73" customWidth="1"/>
    <col min="14872" max="14872" width="9.5703125" style="73" customWidth="1"/>
    <col min="14873" max="14873" width="15.5703125" style="73" customWidth="1"/>
    <col min="14874" max="15105" width="9.140625" style="73"/>
    <col min="15106" max="15106" width="6.85546875" style="73" customWidth="1"/>
    <col min="15107" max="15107" width="2.140625" style="73" customWidth="1"/>
    <col min="15108" max="15108" width="6.140625" style="73" customWidth="1"/>
    <col min="15109" max="15109" width="8.85546875" style="73" customWidth="1"/>
    <col min="15110" max="15110" width="28.42578125" style="73" customWidth="1"/>
    <col min="15111" max="15111" width="13.85546875" style="73" customWidth="1"/>
    <col min="15112" max="15112" width="8.42578125" style="73" customWidth="1"/>
    <col min="15113" max="15116" width="0" style="73" hidden="1" customWidth="1"/>
    <col min="15117" max="15117" width="5.28515625" style="73" customWidth="1"/>
    <col min="15118" max="15118" width="5.5703125" style="73" customWidth="1"/>
    <col min="15119" max="15119" width="6" style="73" customWidth="1"/>
    <col min="15120" max="15120" width="5.5703125" style="73" customWidth="1"/>
    <col min="15121" max="15122" width="5.7109375" style="73" customWidth="1"/>
    <col min="15123" max="15123" width="9.85546875" style="73" customWidth="1"/>
    <col min="15124" max="15124" width="9.7109375" style="73" customWidth="1"/>
    <col min="15125" max="15125" width="8.85546875" style="73" customWidth="1"/>
    <col min="15126" max="15126" width="10" style="73" customWidth="1"/>
    <col min="15127" max="15127" width="8.28515625" style="73" customWidth="1"/>
    <col min="15128" max="15128" width="9.5703125" style="73" customWidth="1"/>
    <col min="15129" max="15129" width="15.5703125" style="73" customWidth="1"/>
    <col min="15130" max="15361" width="9.140625" style="73"/>
    <col min="15362" max="15362" width="6.85546875" style="73" customWidth="1"/>
    <col min="15363" max="15363" width="2.140625" style="73" customWidth="1"/>
    <col min="15364" max="15364" width="6.140625" style="73" customWidth="1"/>
    <col min="15365" max="15365" width="8.85546875" style="73" customWidth="1"/>
    <col min="15366" max="15366" width="28.42578125" style="73" customWidth="1"/>
    <col min="15367" max="15367" width="13.85546875" style="73" customWidth="1"/>
    <col min="15368" max="15368" width="8.42578125" style="73" customWidth="1"/>
    <col min="15369" max="15372" width="0" style="73" hidden="1" customWidth="1"/>
    <col min="15373" max="15373" width="5.28515625" style="73" customWidth="1"/>
    <col min="15374" max="15374" width="5.5703125" style="73" customWidth="1"/>
    <col min="15375" max="15375" width="6" style="73" customWidth="1"/>
    <col min="15376" max="15376" width="5.5703125" style="73" customWidth="1"/>
    <col min="15377" max="15378" width="5.7109375" style="73" customWidth="1"/>
    <col min="15379" max="15379" width="9.85546875" style="73" customWidth="1"/>
    <col min="15380" max="15380" width="9.7109375" style="73" customWidth="1"/>
    <col min="15381" max="15381" width="8.85546875" style="73" customWidth="1"/>
    <col min="15382" max="15382" width="10" style="73" customWidth="1"/>
    <col min="15383" max="15383" width="8.28515625" style="73" customWidth="1"/>
    <col min="15384" max="15384" width="9.5703125" style="73" customWidth="1"/>
    <col min="15385" max="15385" width="15.5703125" style="73" customWidth="1"/>
    <col min="15386" max="15617" width="9.140625" style="73"/>
    <col min="15618" max="15618" width="6.85546875" style="73" customWidth="1"/>
    <col min="15619" max="15619" width="2.140625" style="73" customWidth="1"/>
    <col min="15620" max="15620" width="6.140625" style="73" customWidth="1"/>
    <col min="15621" max="15621" width="8.85546875" style="73" customWidth="1"/>
    <col min="15622" max="15622" width="28.42578125" style="73" customWidth="1"/>
    <col min="15623" max="15623" width="13.85546875" style="73" customWidth="1"/>
    <col min="15624" max="15624" width="8.42578125" style="73" customWidth="1"/>
    <col min="15625" max="15628" width="0" style="73" hidden="1" customWidth="1"/>
    <col min="15629" max="15629" width="5.28515625" style="73" customWidth="1"/>
    <col min="15630" max="15630" width="5.5703125" style="73" customWidth="1"/>
    <col min="15631" max="15631" width="6" style="73" customWidth="1"/>
    <col min="15632" max="15632" width="5.5703125" style="73" customWidth="1"/>
    <col min="15633" max="15634" width="5.7109375" style="73" customWidth="1"/>
    <col min="15635" max="15635" width="9.85546875" style="73" customWidth="1"/>
    <col min="15636" max="15636" width="9.7109375" style="73" customWidth="1"/>
    <col min="15637" max="15637" width="8.85546875" style="73" customWidth="1"/>
    <col min="15638" max="15638" width="10" style="73" customWidth="1"/>
    <col min="15639" max="15639" width="8.28515625" style="73" customWidth="1"/>
    <col min="15640" max="15640" width="9.5703125" style="73" customWidth="1"/>
    <col min="15641" max="15641" width="15.5703125" style="73" customWidth="1"/>
    <col min="15642" max="15873" width="9.140625" style="73"/>
    <col min="15874" max="15874" width="6.85546875" style="73" customWidth="1"/>
    <col min="15875" max="15875" width="2.140625" style="73" customWidth="1"/>
    <col min="15876" max="15876" width="6.140625" style="73" customWidth="1"/>
    <col min="15877" max="15877" width="8.85546875" style="73" customWidth="1"/>
    <col min="15878" max="15878" width="28.42578125" style="73" customWidth="1"/>
    <col min="15879" max="15879" width="13.85546875" style="73" customWidth="1"/>
    <col min="15880" max="15880" width="8.42578125" style="73" customWidth="1"/>
    <col min="15881" max="15884" width="0" style="73" hidden="1" customWidth="1"/>
    <col min="15885" max="15885" width="5.28515625" style="73" customWidth="1"/>
    <col min="15886" max="15886" width="5.5703125" style="73" customWidth="1"/>
    <col min="15887" max="15887" width="6" style="73" customWidth="1"/>
    <col min="15888" max="15888" width="5.5703125" style="73" customWidth="1"/>
    <col min="15889" max="15890" width="5.7109375" style="73" customWidth="1"/>
    <col min="15891" max="15891" width="9.85546875" style="73" customWidth="1"/>
    <col min="15892" max="15892" width="9.7109375" style="73" customWidth="1"/>
    <col min="15893" max="15893" width="8.85546875" style="73" customWidth="1"/>
    <col min="15894" max="15894" width="10" style="73" customWidth="1"/>
    <col min="15895" max="15895" width="8.28515625" style="73" customWidth="1"/>
    <col min="15896" max="15896" width="9.5703125" style="73" customWidth="1"/>
    <col min="15897" max="15897" width="15.5703125" style="73" customWidth="1"/>
    <col min="15898" max="16129" width="9.140625" style="73"/>
    <col min="16130" max="16130" width="6.85546875" style="73" customWidth="1"/>
    <col min="16131" max="16131" width="2.140625" style="73" customWidth="1"/>
    <col min="16132" max="16132" width="6.140625" style="73" customWidth="1"/>
    <col min="16133" max="16133" width="8.85546875" style="73" customWidth="1"/>
    <col min="16134" max="16134" width="28.42578125" style="73" customWidth="1"/>
    <col min="16135" max="16135" width="13.85546875" style="73" customWidth="1"/>
    <col min="16136" max="16136" width="8.42578125" style="73" customWidth="1"/>
    <col min="16137" max="16140" width="0" style="73" hidden="1" customWidth="1"/>
    <col min="16141" max="16141" width="5.28515625" style="73" customWidth="1"/>
    <col min="16142" max="16142" width="5.5703125" style="73" customWidth="1"/>
    <col min="16143" max="16143" width="6" style="73" customWidth="1"/>
    <col min="16144" max="16144" width="5.5703125" style="73" customWidth="1"/>
    <col min="16145" max="16146" width="5.7109375" style="73" customWidth="1"/>
    <col min="16147" max="16147" width="9.85546875" style="73" customWidth="1"/>
    <col min="16148" max="16148" width="9.7109375" style="73" customWidth="1"/>
    <col min="16149" max="16149" width="8.85546875" style="73" customWidth="1"/>
    <col min="16150" max="16150" width="10" style="73" customWidth="1"/>
    <col min="16151" max="16151" width="8.28515625" style="73" customWidth="1"/>
    <col min="16152" max="16152" width="9.5703125" style="73" customWidth="1"/>
    <col min="16153" max="16153" width="15.5703125" style="73" customWidth="1"/>
    <col min="16154" max="16384" width="9.140625" style="73"/>
  </cols>
  <sheetData>
    <row r="1" spans="1:37" s="80" customFormat="1" ht="19.5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1"/>
      <c r="AD1" s="1"/>
      <c r="AE1" s="1"/>
      <c r="AF1" s="1"/>
      <c r="AG1" s="1"/>
    </row>
    <row r="2" spans="1:37" s="80" customFormat="1" ht="15" customHeight="1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"/>
      <c r="AD2" s="2"/>
      <c r="AE2" s="2"/>
      <c r="AF2" s="2"/>
      <c r="AG2" s="2"/>
    </row>
    <row r="3" spans="1:37" s="80" customFormat="1" ht="15" customHeight="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"/>
      <c r="AD3" s="2"/>
      <c r="AE3" s="2"/>
      <c r="AF3" s="2"/>
      <c r="AG3" s="2"/>
    </row>
    <row r="4" spans="1:37" s="3" customFormat="1" ht="15" customHeight="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37" s="3" customFormat="1" ht="5.25" customHeight="1"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4</v>
      </c>
    </row>
    <row r="6" spans="1:37" s="3" customFormat="1" ht="27.75" customHeight="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4"/>
      <c r="AD6" s="4"/>
      <c r="AE6" s="4"/>
      <c r="AF6" s="4"/>
    </row>
    <row r="7" spans="1:37" s="6" customFormat="1" ht="18.75" customHeight="1">
      <c r="A7" s="5" t="s">
        <v>6</v>
      </c>
      <c r="C7" s="7"/>
      <c r="D7" s="7" t="s">
        <v>69</v>
      </c>
      <c r="E7" s="7"/>
      <c r="F7" s="7"/>
      <c r="G7" s="5"/>
    </row>
    <row r="8" spans="1:37" s="8" customFormat="1" ht="18.75" customHeight="1">
      <c r="A8" s="5" t="s">
        <v>7</v>
      </c>
      <c r="C8" s="9"/>
      <c r="D8" s="10">
        <v>4500457758</v>
      </c>
      <c r="E8" s="10"/>
      <c r="F8" s="10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37" s="8" customFormat="1" ht="18.75" customHeight="1">
      <c r="A9" s="12"/>
      <c r="C9" s="81"/>
      <c r="D9" s="13" t="s">
        <v>70</v>
      </c>
      <c r="E9" s="13"/>
      <c r="F9" s="14"/>
      <c r="G9" s="10" t="s">
        <v>46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AA9" s="6"/>
      <c r="AB9" s="6"/>
      <c r="AC9" s="6"/>
      <c r="AE9" s="6"/>
      <c r="AF9" s="6"/>
      <c r="AG9" s="6"/>
      <c r="AH9" s="6"/>
      <c r="AI9" s="6"/>
      <c r="AJ9" s="6"/>
      <c r="AK9" s="6"/>
    </row>
    <row r="10" spans="1:37" s="8" customFormat="1" ht="18.75" customHeight="1">
      <c r="A10" s="12"/>
      <c r="C10" s="81"/>
      <c r="D10" s="334" t="s">
        <v>71</v>
      </c>
      <c r="E10" s="334"/>
      <c r="F10" s="334"/>
      <c r="G10" s="33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AA10" s="6"/>
      <c r="AB10" s="6"/>
      <c r="AC10" s="6"/>
      <c r="AE10" s="6"/>
      <c r="AF10" s="6"/>
      <c r="AG10" s="6"/>
      <c r="AH10" s="6"/>
      <c r="AI10" s="6"/>
      <c r="AJ10" s="6"/>
      <c r="AK10" s="6"/>
    </row>
    <row r="11" spans="1:37" s="8" customFormat="1" ht="18.75" customHeight="1">
      <c r="A11" s="12"/>
      <c r="C11" s="81"/>
      <c r="D11" s="16"/>
      <c r="E11" s="16"/>
      <c r="F11" s="14"/>
      <c r="G11" s="10"/>
      <c r="H11" s="7" t="s">
        <v>51</v>
      </c>
      <c r="I11" s="6"/>
      <c r="J11" s="6"/>
      <c r="K11" s="6"/>
      <c r="L11" s="6"/>
      <c r="M11" s="6"/>
      <c r="N11" s="6"/>
      <c r="O11" s="6" t="s">
        <v>101</v>
      </c>
      <c r="P11" s="6"/>
      <c r="Q11" s="6"/>
      <c r="R11" s="6"/>
      <c r="T11" s="6"/>
      <c r="U11" s="6"/>
      <c r="V11" s="6"/>
      <c r="W11" s="6"/>
    </row>
    <row r="12" spans="1:37" s="8" customFormat="1" ht="18.75" customHeight="1" thickBot="1">
      <c r="A12" s="12" t="s">
        <v>9</v>
      </c>
      <c r="C12" s="250">
        <f>+T23</f>
        <v>1158</v>
      </c>
      <c r="D12" s="250"/>
      <c r="E12" s="81"/>
      <c r="F12" s="14"/>
      <c r="G12" s="10"/>
      <c r="H12" s="9" t="s">
        <v>100</v>
      </c>
      <c r="I12" s="6"/>
      <c r="J12" s="6"/>
      <c r="K12" s="6"/>
      <c r="L12" s="6"/>
      <c r="M12" s="6"/>
      <c r="N12" s="6"/>
      <c r="O12" s="18" t="str">
        <f>+D9</f>
        <v>BI STRETCH GRID PANT -HUSKY</v>
      </c>
      <c r="P12" s="6"/>
      <c r="Q12" s="6"/>
      <c r="R12" s="6"/>
      <c r="T12" s="19"/>
      <c r="U12" s="19"/>
      <c r="V12" s="19"/>
      <c r="W12" s="19"/>
    </row>
    <row r="13" spans="1:37" s="22" customFormat="1" ht="22.5" customHeight="1" thickBot="1">
      <c r="A13" s="251" t="s">
        <v>11</v>
      </c>
      <c r="B13" s="252"/>
      <c r="C13" s="253"/>
      <c r="D13" s="260" t="s">
        <v>65</v>
      </c>
      <c r="E13" s="260" t="s">
        <v>13</v>
      </c>
      <c r="F13" s="263" t="s">
        <v>14</v>
      </c>
      <c r="G13" s="263" t="s">
        <v>15</v>
      </c>
      <c r="H13" s="244" t="s">
        <v>16</v>
      </c>
      <c r="I13" s="229" t="s">
        <v>17</v>
      </c>
      <c r="J13" s="230"/>
      <c r="K13" s="230"/>
      <c r="L13" s="230"/>
      <c r="M13" s="230"/>
      <c r="N13" s="230"/>
      <c r="O13" s="230"/>
      <c r="P13" s="230"/>
      <c r="Q13" s="230"/>
      <c r="R13" s="231"/>
      <c r="S13" s="232" t="s">
        <v>66</v>
      </c>
      <c r="T13" s="235" t="s">
        <v>19</v>
      </c>
      <c r="U13" s="20" t="s">
        <v>20</v>
      </c>
      <c r="V13" s="20" t="s">
        <v>21</v>
      </c>
      <c r="W13" s="20" t="s">
        <v>22</v>
      </c>
      <c r="X13" s="21" t="s">
        <v>23</v>
      </c>
      <c r="Y13" s="235" t="s">
        <v>24</v>
      </c>
      <c r="Z13" s="238" t="s">
        <v>25</v>
      </c>
      <c r="AA13" s="239"/>
      <c r="AB13" s="240"/>
      <c r="AC13" s="224" t="s">
        <v>26</v>
      </c>
      <c r="AD13" s="224" t="s">
        <v>52</v>
      </c>
    </row>
    <row r="14" spans="1:37" s="22" customFormat="1" ht="18.75" customHeight="1" thickBot="1">
      <c r="A14" s="254"/>
      <c r="B14" s="255"/>
      <c r="C14" s="256"/>
      <c r="D14" s="261"/>
      <c r="E14" s="261"/>
      <c r="F14" s="264"/>
      <c r="G14" s="264"/>
      <c r="H14" s="245"/>
      <c r="I14" s="227" t="s">
        <v>58</v>
      </c>
      <c r="J14" s="227" t="s">
        <v>59</v>
      </c>
      <c r="K14" s="227" t="s">
        <v>60</v>
      </c>
      <c r="L14" s="227" t="s">
        <v>61</v>
      </c>
      <c r="M14" s="227" t="s">
        <v>62</v>
      </c>
      <c r="N14" s="227" t="s">
        <v>63</v>
      </c>
      <c r="O14" s="227" t="s">
        <v>64</v>
      </c>
      <c r="P14" s="215" t="s">
        <v>53</v>
      </c>
      <c r="Q14" s="217" t="s">
        <v>27</v>
      </c>
      <c r="R14" s="211" t="s">
        <v>28</v>
      </c>
      <c r="S14" s="233"/>
      <c r="T14" s="236"/>
      <c r="U14" s="23"/>
      <c r="V14" s="23"/>
      <c r="W14" s="23"/>
      <c r="X14" s="24"/>
      <c r="Y14" s="236"/>
      <c r="Z14" s="241"/>
      <c r="AA14" s="242"/>
      <c r="AB14" s="243"/>
      <c r="AC14" s="225"/>
      <c r="AD14" s="225"/>
    </row>
    <row r="15" spans="1:37" s="22" customFormat="1" ht="24" customHeight="1" thickBot="1">
      <c r="A15" s="257"/>
      <c r="B15" s="258"/>
      <c r="C15" s="259"/>
      <c r="D15" s="262"/>
      <c r="E15" s="262"/>
      <c r="F15" s="265"/>
      <c r="G15" s="265"/>
      <c r="H15" s="246"/>
      <c r="I15" s="228"/>
      <c r="J15" s="228"/>
      <c r="K15" s="228"/>
      <c r="L15" s="228"/>
      <c r="M15" s="228"/>
      <c r="N15" s="228"/>
      <c r="O15" s="228"/>
      <c r="P15" s="216"/>
      <c r="Q15" s="218"/>
      <c r="R15" s="212"/>
      <c r="S15" s="234"/>
      <c r="T15" s="237"/>
      <c r="U15" s="25" t="s">
        <v>29</v>
      </c>
      <c r="V15" s="79" t="s">
        <v>29</v>
      </c>
      <c r="W15" s="25" t="s">
        <v>29</v>
      </c>
      <c r="X15" s="25" t="s">
        <v>29</v>
      </c>
      <c r="Y15" s="237"/>
      <c r="Z15" s="26" t="s">
        <v>4</v>
      </c>
      <c r="AA15" s="26" t="s">
        <v>30</v>
      </c>
      <c r="AB15" s="26" t="s">
        <v>31</v>
      </c>
      <c r="AC15" s="226"/>
      <c r="AD15" s="226"/>
    </row>
    <row r="16" spans="1:37" s="42" customFormat="1" ht="27.75" customHeight="1">
      <c r="A16" s="87">
        <v>1</v>
      </c>
      <c r="B16" s="88" t="s">
        <v>32</v>
      </c>
      <c r="C16" s="87">
        <f t="shared" ref="C16:C22" si="0">+A16+D16-1</f>
        <v>14</v>
      </c>
      <c r="D16" s="29">
        <f t="shared" ref="D16:D22" si="1">+T16/S16</f>
        <v>14</v>
      </c>
      <c r="E16" s="85" t="s">
        <v>93</v>
      </c>
      <c r="F16" s="28" t="str">
        <f>+D7</f>
        <v>361044K-404-PC</v>
      </c>
      <c r="G16" s="28" t="s">
        <v>48</v>
      </c>
      <c r="H16" s="30">
        <f>+D8</f>
        <v>4500457758</v>
      </c>
      <c r="I16" s="31">
        <v>6</v>
      </c>
      <c r="J16" s="31"/>
      <c r="K16" s="31"/>
      <c r="L16" s="31"/>
      <c r="M16" s="31"/>
      <c r="N16" s="31"/>
      <c r="O16" s="31"/>
      <c r="P16" s="30"/>
      <c r="Q16" s="30"/>
      <c r="R16" s="30"/>
      <c r="S16" s="28">
        <f t="shared" ref="S16:S22" si="2">+SUM(I16:O16)</f>
        <v>6</v>
      </c>
      <c r="T16" s="28">
        <v>84</v>
      </c>
      <c r="U16" s="32">
        <f t="shared" ref="U16:V20" si="3">+U17-0.2</f>
        <v>0.75000000000000022</v>
      </c>
      <c r="V16" s="32">
        <f t="shared" si="3"/>
        <v>0.80000000000000027</v>
      </c>
      <c r="W16" s="33">
        <f t="shared" ref="W16:W22" si="4">+U16*D16</f>
        <v>10.500000000000004</v>
      </c>
      <c r="X16" s="34">
        <f t="shared" ref="X16:X22" si="5">+V16*D16</f>
        <v>11.200000000000003</v>
      </c>
      <c r="Y16" s="82">
        <f>+ROUND(D16*Z16*AA16*AB16/1000000,3)</f>
        <v>0.11799999999999999</v>
      </c>
      <c r="Z16" s="37">
        <v>28</v>
      </c>
      <c r="AA16" s="38">
        <v>25</v>
      </c>
      <c r="AB16" s="37">
        <v>12</v>
      </c>
      <c r="AC16" s="92" t="s">
        <v>104</v>
      </c>
      <c r="AD16" s="89" t="s">
        <v>68</v>
      </c>
      <c r="AE16" s="39" t="e">
        <f>+RIGHT((#REF!),6)</f>
        <v>#REF!</v>
      </c>
      <c r="AF16" s="40" t="e">
        <f>+AE16-D16+1</f>
        <v>#REF!</v>
      </c>
      <c r="AG16" s="41" t="e">
        <f>+AE16-AF16+1</f>
        <v>#REF!</v>
      </c>
      <c r="AH16" s="41" t="e">
        <f>+AG16-D16</f>
        <v>#REF!</v>
      </c>
    </row>
    <row r="17" spans="1:35" s="42" customFormat="1" ht="27.75" customHeight="1">
      <c r="A17" s="27">
        <f>+C16+1</f>
        <v>15</v>
      </c>
      <c r="B17" s="28" t="s">
        <v>32</v>
      </c>
      <c r="C17" s="27">
        <f t="shared" si="0"/>
        <v>47</v>
      </c>
      <c r="D17" s="29">
        <f t="shared" si="1"/>
        <v>33</v>
      </c>
      <c r="E17" s="85" t="s">
        <v>94</v>
      </c>
      <c r="F17" s="28" t="str">
        <f>+F16</f>
        <v>361044K-404-PC</v>
      </c>
      <c r="G17" s="28" t="str">
        <f>+G16</f>
        <v>404 BANK BLUE</v>
      </c>
      <c r="H17" s="30">
        <f>+H16</f>
        <v>4500457758</v>
      </c>
      <c r="I17" s="31"/>
      <c r="J17" s="31">
        <v>6</v>
      </c>
      <c r="K17" s="31"/>
      <c r="L17" s="31"/>
      <c r="M17" s="31"/>
      <c r="N17" s="31"/>
      <c r="O17" s="31"/>
      <c r="P17" s="30"/>
      <c r="Q17" s="30"/>
      <c r="R17" s="30"/>
      <c r="S17" s="28">
        <f t="shared" si="2"/>
        <v>6</v>
      </c>
      <c r="T17" s="28">
        <v>198</v>
      </c>
      <c r="U17" s="32">
        <f t="shared" si="3"/>
        <v>0.95000000000000018</v>
      </c>
      <c r="V17" s="32">
        <f t="shared" si="3"/>
        <v>1.0000000000000002</v>
      </c>
      <c r="W17" s="33">
        <f t="shared" si="4"/>
        <v>31.350000000000005</v>
      </c>
      <c r="X17" s="34">
        <f t="shared" si="5"/>
        <v>33.000000000000007</v>
      </c>
      <c r="Y17" s="82">
        <f t="shared" ref="Y17:Y22" si="6">+ROUND(D17*Z17*AA17*AB17/1000000,3)</f>
        <v>0.27700000000000002</v>
      </c>
      <c r="Z17" s="37">
        <v>28</v>
      </c>
      <c r="AA17" s="38">
        <v>25</v>
      </c>
      <c r="AB17" s="37">
        <v>12</v>
      </c>
      <c r="AC17" s="93" t="s">
        <v>104</v>
      </c>
      <c r="AD17" s="89" t="str">
        <f>+AD16</f>
        <v>JCC</v>
      </c>
      <c r="AE17" s="36"/>
      <c r="AF17" s="39" t="e">
        <f>+RIGHT((#REF!),6)</f>
        <v>#REF!</v>
      </c>
      <c r="AG17" s="40" t="e">
        <f>+AF17-D17+1</f>
        <v>#REF!</v>
      </c>
      <c r="AH17" s="41" t="e">
        <f>+AF17-AG17+1</f>
        <v>#REF!</v>
      </c>
      <c r="AI17" s="41" t="e">
        <f>+AH17-D17</f>
        <v>#REF!</v>
      </c>
    </row>
    <row r="18" spans="1:35" s="42" customFormat="1" ht="27.75" customHeight="1">
      <c r="A18" s="27">
        <f t="shared" ref="A18:A22" si="7">+C17+1</f>
        <v>48</v>
      </c>
      <c r="B18" s="88" t="s">
        <v>32</v>
      </c>
      <c r="C18" s="27">
        <f t="shared" si="0"/>
        <v>68</v>
      </c>
      <c r="D18" s="29">
        <f t="shared" si="1"/>
        <v>21</v>
      </c>
      <c r="E18" s="85" t="s">
        <v>95</v>
      </c>
      <c r="F18" s="28" t="str">
        <f t="shared" ref="F18:H22" si="8">+F17</f>
        <v>361044K-404-PC</v>
      </c>
      <c r="G18" s="28" t="str">
        <f t="shared" si="8"/>
        <v>404 BANK BLUE</v>
      </c>
      <c r="H18" s="30">
        <f t="shared" si="8"/>
        <v>4500457758</v>
      </c>
      <c r="I18" s="31"/>
      <c r="J18" s="31"/>
      <c r="K18" s="31">
        <v>6</v>
      </c>
      <c r="L18" s="31"/>
      <c r="M18" s="31"/>
      <c r="N18" s="31"/>
      <c r="O18" s="31"/>
      <c r="P18" s="30"/>
      <c r="Q18" s="30"/>
      <c r="R18" s="30"/>
      <c r="S18" s="28">
        <f t="shared" si="2"/>
        <v>6</v>
      </c>
      <c r="T18" s="28">
        <v>126</v>
      </c>
      <c r="U18" s="32">
        <f t="shared" si="3"/>
        <v>1.1500000000000001</v>
      </c>
      <c r="V18" s="32">
        <f t="shared" si="3"/>
        <v>1.2000000000000002</v>
      </c>
      <c r="W18" s="33">
        <f t="shared" si="4"/>
        <v>24.150000000000002</v>
      </c>
      <c r="X18" s="34">
        <f t="shared" si="5"/>
        <v>25.200000000000003</v>
      </c>
      <c r="Y18" s="82">
        <f t="shared" si="6"/>
        <v>0.22500000000000001</v>
      </c>
      <c r="Z18" s="37">
        <v>33</v>
      </c>
      <c r="AA18" s="38">
        <v>27</v>
      </c>
      <c r="AB18" s="37">
        <v>12</v>
      </c>
      <c r="AC18" s="92" t="s">
        <v>105</v>
      </c>
      <c r="AD18" s="89" t="str">
        <f t="shared" ref="AD18:AD22" si="9">+AD17</f>
        <v>JCC</v>
      </c>
      <c r="AE18" s="39" t="e">
        <f>+RIGHT((#REF!),6)</f>
        <v>#REF!</v>
      </c>
      <c r="AF18" s="40" t="e">
        <f>+AE18-D18+1</f>
        <v>#REF!</v>
      </c>
      <c r="AG18" s="41" t="e">
        <f>+AE18-AF18+1</f>
        <v>#REF!</v>
      </c>
      <c r="AH18" s="41" t="e">
        <f>+AG18-D18</f>
        <v>#REF!</v>
      </c>
    </row>
    <row r="19" spans="1:35" s="42" customFormat="1" ht="27.75" customHeight="1">
      <c r="A19" s="27">
        <f t="shared" si="7"/>
        <v>69</v>
      </c>
      <c r="B19" s="28" t="s">
        <v>32</v>
      </c>
      <c r="C19" s="27">
        <f t="shared" si="0"/>
        <v>91</v>
      </c>
      <c r="D19" s="29">
        <f t="shared" si="1"/>
        <v>23</v>
      </c>
      <c r="E19" s="85" t="s">
        <v>96</v>
      </c>
      <c r="F19" s="28" t="str">
        <f t="shared" si="8"/>
        <v>361044K-404-PC</v>
      </c>
      <c r="G19" s="28" t="str">
        <f t="shared" si="8"/>
        <v>404 BANK BLUE</v>
      </c>
      <c r="H19" s="30">
        <f t="shared" si="8"/>
        <v>4500457758</v>
      </c>
      <c r="I19" s="31"/>
      <c r="J19" s="31"/>
      <c r="K19" s="31"/>
      <c r="L19" s="31">
        <v>6</v>
      </c>
      <c r="M19" s="31"/>
      <c r="N19" s="31"/>
      <c r="O19" s="31"/>
      <c r="P19" s="30"/>
      <c r="Q19" s="30"/>
      <c r="R19" s="30"/>
      <c r="S19" s="28">
        <f t="shared" si="2"/>
        <v>6</v>
      </c>
      <c r="T19" s="28">
        <v>138</v>
      </c>
      <c r="U19" s="32">
        <f t="shared" si="3"/>
        <v>1.35</v>
      </c>
      <c r="V19" s="32">
        <f t="shared" si="3"/>
        <v>1.4000000000000001</v>
      </c>
      <c r="W19" s="33">
        <f t="shared" si="4"/>
        <v>31.05</v>
      </c>
      <c r="X19" s="34">
        <f t="shared" si="5"/>
        <v>32.200000000000003</v>
      </c>
      <c r="Y19" s="82">
        <f t="shared" si="6"/>
        <v>0.246</v>
      </c>
      <c r="Z19" s="37">
        <v>33</v>
      </c>
      <c r="AA19" s="38">
        <v>27</v>
      </c>
      <c r="AB19" s="37">
        <v>12</v>
      </c>
      <c r="AC19" s="93" t="s">
        <v>105</v>
      </c>
      <c r="AD19" s="89" t="str">
        <f t="shared" si="9"/>
        <v>JCC</v>
      </c>
      <c r="AE19" s="36"/>
      <c r="AF19" s="39" t="e">
        <f>+RIGHT((#REF!),6)</f>
        <v>#REF!</v>
      </c>
      <c r="AG19" s="40" t="e">
        <f>+AF19-D19+1</f>
        <v>#REF!</v>
      </c>
      <c r="AH19" s="41" t="e">
        <f>+AF19-AG19+1</f>
        <v>#REF!</v>
      </c>
      <c r="AI19" s="41" t="e">
        <f>+AH19-D19</f>
        <v>#REF!</v>
      </c>
    </row>
    <row r="20" spans="1:35" s="42" customFormat="1" ht="27.75" customHeight="1">
      <c r="A20" s="27">
        <f t="shared" si="7"/>
        <v>92</v>
      </c>
      <c r="B20" s="28" t="s">
        <v>32</v>
      </c>
      <c r="C20" s="27">
        <f t="shared" si="0"/>
        <v>120</v>
      </c>
      <c r="D20" s="29">
        <f t="shared" si="1"/>
        <v>29</v>
      </c>
      <c r="E20" s="85" t="s">
        <v>97</v>
      </c>
      <c r="F20" s="28" t="str">
        <f t="shared" si="8"/>
        <v>361044K-404-PC</v>
      </c>
      <c r="G20" s="28" t="str">
        <f t="shared" si="8"/>
        <v>404 BANK BLUE</v>
      </c>
      <c r="H20" s="30">
        <f t="shared" si="8"/>
        <v>4500457758</v>
      </c>
      <c r="I20" s="31"/>
      <c r="J20" s="31"/>
      <c r="K20" s="31"/>
      <c r="L20" s="31"/>
      <c r="M20" s="31">
        <v>6</v>
      </c>
      <c r="N20" s="31"/>
      <c r="O20" s="31"/>
      <c r="P20" s="30"/>
      <c r="Q20" s="30"/>
      <c r="R20" s="30"/>
      <c r="S20" s="28">
        <f t="shared" si="2"/>
        <v>6</v>
      </c>
      <c r="T20" s="28">
        <v>174</v>
      </c>
      <c r="U20" s="32">
        <f t="shared" si="3"/>
        <v>1.55</v>
      </c>
      <c r="V20" s="32">
        <f t="shared" si="3"/>
        <v>1.6</v>
      </c>
      <c r="W20" s="33">
        <f t="shared" si="4"/>
        <v>44.95</v>
      </c>
      <c r="X20" s="34">
        <f t="shared" si="5"/>
        <v>46.400000000000006</v>
      </c>
      <c r="Y20" s="82">
        <f t="shared" si="6"/>
        <v>0.35899999999999999</v>
      </c>
      <c r="Z20" s="37">
        <v>35</v>
      </c>
      <c r="AA20" s="38">
        <v>29.5</v>
      </c>
      <c r="AB20" s="37">
        <v>12</v>
      </c>
      <c r="AC20" s="93" t="s">
        <v>106</v>
      </c>
      <c r="AD20" s="89" t="str">
        <f t="shared" si="9"/>
        <v>JCC</v>
      </c>
      <c r="AE20" s="36"/>
      <c r="AF20" s="39" t="e">
        <f>+RIGHT((#REF!),6)</f>
        <v>#REF!</v>
      </c>
      <c r="AG20" s="40" t="e">
        <f>+AF20-D20+1</f>
        <v>#REF!</v>
      </c>
      <c r="AH20" s="41" t="e">
        <f>+AF20-AG20+1</f>
        <v>#REF!</v>
      </c>
      <c r="AI20" s="41" t="e">
        <f>+AH20-D20</f>
        <v>#REF!</v>
      </c>
    </row>
    <row r="21" spans="1:35" s="42" customFormat="1" ht="27.75" customHeight="1">
      <c r="A21" s="27">
        <f t="shared" si="7"/>
        <v>121</v>
      </c>
      <c r="B21" s="88" t="s">
        <v>32</v>
      </c>
      <c r="C21" s="27">
        <f t="shared" si="0"/>
        <v>156</v>
      </c>
      <c r="D21" s="29">
        <f t="shared" si="1"/>
        <v>36</v>
      </c>
      <c r="E21" s="85" t="s">
        <v>98</v>
      </c>
      <c r="F21" s="28" t="str">
        <f t="shared" si="8"/>
        <v>361044K-404-PC</v>
      </c>
      <c r="G21" s="28" t="str">
        <f t="shared" si="8"/>
        <v>404 BANK BLUE</v>
      </c>
      <c r="H21" s="30">
        <f t="shared" si="8"/>
        <v>4500457758</v>
      </c>
      <c r="I21" s="31"/>
      <c r="J21" s="31"/>
      <c r="K21" s="31"/>
      <c r="L21" s="31"/>
      <c r="M21" s="31"/>
      <c r="N21" s="31">
        <v>6</v>
      </c>
      <c r="O21" s="31"/>
      <c r="P21" s="30"/>
      <c r="Q21" s="30"/>
      <c r="R21" s="30"/>
      <c r="S21" s="28">
        <f t="shared" si="2"/>
        <v>6</v>
      </c>
      <c r="T21" s="28">
        <v>216</v>
      </c>
      <c r="U21" s="32">
        <f>+U22-0.05</f>
        <v>1.75</v>
      </c>
      <c r="V21" s="32">
        <f>+V22-0.2</f>
        <v>1.8</v>
      </c>
      <c r="W21" s="33">
        <f t="shared" si="4"/>
        <v>63</v>
      </c>
      <c r="X21" s="34">
        <f t="shared" si="5"/>
        <v>64.8</v>
      </c>
      <c r="Y21" s="82">
        <f t="shared" si="6"/>
        <v>0.44600000000000001</v>
      </c>
      <c r="Z21" s="37">
        <v>35</v>
      </c>
      <c r="AA21" s="38">
        <v>29.5</v>
      </c>
      <c r="AB21" s="37">
        <v>12</v>
      </c>
      <c r="AC21" s="92" t="s">
        <v>106</v>
      </c>
      <c r="AD21" s="89" t="str">
        <f t="shared" si="9"/>
        <v>JCC</v>
      </c>
      <c r="AE21" s="39" t="str">
        <f>+RIGHT((E1:E21),6)</f>
        <v>187690</v>
      </c>
      <c r="AF21" s="40">
        <f>+AE21-D21+1</f>
        <v>187655</v>
      </c>
      <c r="AG21" s="41">
        <f>+AE21-AF21+1</f>
        <v>36</v>
      </c>
      <c r="AH21" s="41">
        <f>+AG21-D21</f>
        <v>0</v>
      </c>
    </row>
    <row r="22" spans="1:35" s="42" customFormat="1" ht="27.75" customHeight="1">
      <c r="A22" s="27">
        <f t="shared" si="7"/>
        <v>157</v>
      </c>
      <c r="B22" s="28" t="s">
        <v>32</v>
      </c>
      <c r="C22" s="27">
        <f t="shared" si="0"/>
        <v>193</v>
      </c>
      <c r="D22" s="29">
        <f t="shared" si="1"/>
        <v>37</v>
      </c>
      <c r="E22" s="85" t="s">
        <v>99</v>
      </c>
      <c r="F22" s="28" t="str">
        <f t="shared" si="8"/>
        <v>361044K-404-PC</v>
      </c>
      <c r="G22" s="28" t="str">
        <f t="shared" si="8"/>
        <v>404 BANK BLUE</v>
      </c>
      <c r="H22" s="30">
        <f t="shared" si="8"/>
        <v>4500457758</v>
      </c>
      <c r="I22" s="31"/>
      <c r="J22" s="31"/>
      <c r="K22" s="31"/>
      <c r="L22" s="31"/>
      <c r="M22" s="31"/>
      <c r="N22" s="31"/>
      <c r="O22" s="31">
        <v>6</v>
      </c>
      <c r="P22" s="30"/>
      <c r="Q22" s="30"/>
      <c r="R22" s="30"/>
      <c r="S22" s="28">
        <f t="shared" si="2"/>
        <v>6</v>
      </c>
      <c r="T22" s="28">
        <v>222</v>
      </c>
      <c r="U22" s="32">
        <v>1.8</v>
      </c>
      <c r="V22" s="32">
        <v>2</v>
      </c>
      <c r="W22" s="33">
        <f t="shared" si="4"/>
        <v>66.600000000000009</v>
      </c>
      <c r="X22" s="34">
        <f t="shared" si="5"/>
        <v>74</v>
      </c>
      <c r="Y22" s="82">
        <f t="shared" si="6"/>
        <v>0.45800000000000002</v>
      </c>
      <c r="Z22" s="37">
        <v>35</v>
      </c>
      <c r="AA22" s="38">
        <v>29.5</v>
      </c>
      <c r="AB22" s="37">
        <v>12</v>
      </c>
      <c r="AC22" s="93" t="s">
        <v>106</v>
      </c>
      <c r="AD22" s="89" t="str">
        <f t="shared" si="9"/>
        <v>JCC</v>
      </c>
      <c r="AE22" s="36"/>
      <c r="AF22" s="39" t="str">
        <f>+RIGHT((E2:E22),6)</f>
        <v>187727</v>
      </c>
      <c r="AG22" s="40">
        <f>+AF22-D22+1</f>
        <v>187691</v>
      </c>
      <c r="AH22" s="41">
        <f>+AF22-AG22+1</f>
        <v>37</v>
      </c>
      <c r="AI22" s="41">
        <f>+AH22-D22</f>
        <v>0</v>
      </c>
    </row>
    <row r="23" spans="1:35" s="42" customFormat="1" ht="24" customHeight="1">
      <c r="A23" s="219" t="s">
        <v>33</v>
      </c>
      <c r="B23" s="220"/>
      <c r="C23" s="221"/>
      <c r="D23" s="44">
        <f>SUM(D16:D22)</f>
        <v>193</v>
      </c>
      <c r="E23" s="45"/>
      <c r="F23" s="45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4">
        <f>SUM(T16:T22)</f>
        <v>1158</v>
      </c>
      <c r="U23" s="49"/>
      <c r="V23" s="49"/>
      <c r="W23" s="50">
        <f>SUM(W16:W22)</f>
        <v>271.60000000000002</v>
      </c>
      <c r="X23" s="50">
        <f>SUM(X16:X22)</f>
        <v>286.8</v>
      </c>
      <c r="Y23" s="51"/>
      <c r="Z23" s="52"/>
      <c r="AA23" s="3"/>
      <c r="AB23" s="53"/>
      <c r="AC23" s="8"/>
      <c r="AD23" s="90"/>
      <c r="AE23" s="8"/>
    </row>
    <row r="24" spans="1:35" s="42" customFormat="1" ht="12.75" customHeight="1">
      <c r="A24" s="54"/>
      <c r="B24" s="22"/>
      <c r="C24" s="22"/>
      <c r="D24" s="55"/>
      <c r="E24" s="4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6"/>
      <c r="T24" s="57"/>
      <c r="U24" s="22"/>
      <c r="V24" s="22"/>
      <c r="W24" s="57"/>
      <c r="X24" s="57"/>
      <c r="Y24" s="58"/>
      <c r="Z24" s="3"/>
      <c r="AA24" s="3"/>
      <c r="AB24" s="53"/>
      <c r="AC24" s="8"/>
      <c r="AD24" s="58"/>
      <c r="AE24" s="8"/>
    </row>
    <row r="25" spans="1:35" s="42" customFormat="1" ht="21.75" customHeight="1">
      <c r="A25" s="54"/>
      <c r="B25" s="22"/>
      <c r="C25" s="22"/>
      <c r="D25" s="55"/>
      <c r="E25" s="55"/>
      <c r="F25" s="55"/>
      <c r="G25" s="59" t="s">
        <v>34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  <c r="T25" s="60"/>
      <c r="U25" s="22"/>
      <c r="V25" s="56"/>
      <c r="W25" s="57"/>
      <c r="X25" s="57"/>
      <c r="Y25" s="61"/>
      <c r="Z25" s="3"/>
      <c r="AA25" s="3"/>
      <c r="AB25" s="53"/>
      <c r="AC25" s="8"/>
      <c r="AD25" s="61"/>
      <c r="AE25" s="8"/>
    </row>
    <row r="26" spans="1:35" s="64" customFormat="1" ht="21.75" customHeight="1">
      <c r="A26" s="62"/>
      <c r="B26" s="62"/>
      <c r="C26" s="62"/>
      <c r="D26" s="62"/>
      <c r="E26" s="62"/>
      <c r="F26" s="222" t="str">
        <f>+F13</f>
        <v>STYLE</v>
      </c>
      <c r="G26" s="222" t="s">
        <v>15</v>
      </c>
      <c r="H26" s="222" t="str">
        <f>+H13</f>
        <v>Po#</v>
      </c>
      <c r="I26" s="213" t="str">
        <f t="shared" ref="I26:O26" si="10">+I14</f>
        <v>8H</v>
      </c>
      <c r="J26" s="213" t="str">
        <f t="shared" si="10"/>
        <v>10H</v>
      </c>
      <c r="K26" s="213" t="str">
        <f t="shared" si="10"/>
        <v>12H</v>
      </c>
      <c r="L26" s="213" t="str">
        <f t="shared" si="10"/>
        <v>14H</v>
      </c>
      <c r="M26" s="213" t="str">
        <f t="shared" si="10"/>
        <v>16H</v>
      </c>
      <c r="N26" s="213" t="str">
        <f t="shared" si="10"/>
        <v>18H</v>
      </c>
      <c r="O26" s="213" t="str">
        <f t="shared" si="10"/>
        <v>20H</v>
      </c>
      <c r="P26" s="335"/>
      <c r="Q26" s="335"/>
      <c r="R26" s="335"/>
      <c r="S26" s="222" t="s">
        <v>35</v>
      </c>
      <c r="T26" s="63"/>
      <c r="U26" s="62"/>
      <c r="V26" s="62"/>
      <c r="W26" s="62"/>
      <c r="X26" s="62"/>
      <c r="Y26" s="61"/>
      <c r="AC26" s="12"/>
      <c r="AD26" s="61"/>
      <c r="AE26" s="12"/>
      <c r="AG26" s="64" t="s">
        <v>54</v>
      </c>
    </row>
    <row r="27" spans="1:35" s="64" customFormat="1" ht="20.25" customHeight="1">
      <c r="B27" s="65"/>
      <c r="C27" s="65"/>
      <c r="D27" s="66"/>
      <c r="E27" s="66"/>
      <c r="F27" s="223"/>
      <c r="G27" s="223"/>
      <c r="H27" s="223"/>
      <c r="I27" s="214"/>
      <c r="J27" s="214" t="str">
        <f>+J14</f>
        <v>10H</v>
      </c>
      <c r="K27" s="214"/>
      <c r="L27" s="214" t="str">
        <f>+L14</f>
        <v>14H</v>
      </c>
      <c r="M27" s="214" t="str">
        <f>+M14</f>
        <v>16H</v>
      </c>
      <c r="N27" s="214" t="str">
        <f>+N14</f>
        <v>18H</v>
      </c>
      <c r="O27" s="214" t="str">
        <f>+O14</f>
        <v>20H</v>
      </c>
      <c r="P27" s="91" t="str">
        <f>P14</f>
        <v>32/38</v>
      </c>
      <c r="Q27" s="91" t="str">
        <f>Q14</f>
        <v>32/40</v>
      </c>
      <c r="R27" s="91" t="str">
        <f>+R14</f>
        <v>32/42</v>
      </c>
      <c r="S27" s="223"/>
      <c r="T27" s="65"/>
      <c r="U27" s="65"/>
      <c r="V27" s="65"/>
      <c r="W27" s="65"/>
      <c r="X27" s="65"/>
      <c r="AC27" s="12"/>
      <c r="AE27" s="12"/>
    </row>
    <row r="28" spans="1:35" s="64" customFormat="1" ht="23.25" customHeight="1">
      <c r="B28" s="65"/>
      <c r="C28" s="65"/>
      <c r="D28" s="65"/>
      <c r="E28" s="65"/>
      <c r="F28" s="67" t="str">
        <f>+F19</f>
        <v>361044K-404-PC</v>
      </c>
      <c r="G28" s="67" t="str">
        <f>+G19</f>
        <v>404 BANK BLUE</v>
      </c>
      <c r="H28" s="30">
        <f>+H19</f>
        <v>4500457758</v>
      </c>
      <c r="I28" s="70">
        <f>+I16*$D$16</f>
        <v>84</v>
      </c>
      <c r="J28" s="70">
        <f t="shared" ref="J28:O28" si="11">+J16*$D$16</f>
        <v>0</v>
      </c>
      <c r="K28" s="70">
        <f t="shared" si="11"/>
        <v>0</v>
      </c>
      <c r="L28" s="70">
        <f t="shared" si="11"/>
        <v>0</v>
      </c>
      <c r="M28" s="70">
        <f t="shared" si="11"/>
        <v>0</v>
      </c>
      <c r="N28" s="70">
        <f t="shared" si="11"/>
        <v>0</v>
      </c>
      <c r="O28" s="70">
        <f t="shared" si="11"/>
        <v>0</v>
      </c>
      <c r="P28" s="70" t="e">
        <f>+#REF!</f>
        <v>#REF!</v>
      </c>
      <c r="Q28" s="70" t="e">
        <f>+#REF!</f>
        <v>#REF!</v>
      </c>
      <c r="R28" s="70" t="e">
        <f>+#REF!</f>
        <v>#REF!</v>
      </c>
      <c r="S28" s="71">
        <f t="shared" ref="S28:S34" si="12">+SUM(I28:O28)</f>
        <v>84</v>
      </c>
      <c r="T28" s="62"/>
      <c r="U28" s="62"/>
      <c r="V28" s="62"/>
      <c r="W28" s="62"/>
      <c r="X28" s="62"/>
      <c r="Y28" s="61"/>
      <c r="AC28" s="12"/>
      <c r="AD28" s="61"/>
      <c r="AE28" s="12"/>
    </row>
    <row r="29" spans="1:35" s="64" customFormat="1" ht="23.25" customHeight="1">
      <c r="B29" s="65"/>
      <c r="C29" s="65"/>
      <c r="D29" s="65"/>
      <c r="E29" s="65"/>
      <c r="F29" s="67" t="str">
        <f>+F28</f>
        <v>361044K-404-PC</v>
      </c>
      <c r="G29" s="67" t="str">
        <f>+G28</f>
        <v>404 BANK BLUE</v>
      </c>
      <c r="H29" s="30">
        <f>+H28</f>
        <v>4500457758</v>
      </c>
      <c r="I29" s="70">
        <f>+I17*$D$17</f>
        <v>0</v>
      </c>
      <c r="J29" s="70">
        <f t="shared" ref="J29:O29" si="13">+J17*$D$17</f>
        <v>198</v>
      </c>
      <c r="K29" s="70">
        <f t="shared" si="13"/>
        <v>0</v>
      </c>
      <c r="L29" s="70">
        <f t="shared" si="13"/>
        <v>0</v>
      </c>
      <c r="M29" s="70">
        <f t="shared" si="13"/>
        <v>0</v>
      </c>
      <c r="N29" s="70">
        <f t="shared" si="13"/>
        <v>0</v>
      </c>
      <c r="O29" s="70">
        <f t="shared" si="13"/>
        <v>0</v>
      </c>
      <c r="P29" s="70" t="e">
        <f>+#REF!</f>
        <v>#REF!</v>
      </c>
      <c r="Q29" s="70" t="e">
        <f>+#REF!</f>
        <v>#REF!</v>
      </c>
      <c r="R29" s="70" t="e">
        <f>+#REF!</f>
        <v>#REF!</v>
      </c>
      <c r="S29" s="71">
        <f t="shared" si="12"/>
        <v>198</v>
      </c>
      <c r="T29" s="62"/>
      <c r="U29" s="62"/>
      <c r="V29" s="62"/>
      <c r="W29" s="62"/>
      <c r="X29" s="62"/>
      <c r="Y29" s="61"/>
      <c r="AC29" s="61"/>
      <c r="AD29" s="61"/>
      <c r="AE29" s="12"/>
      <c r="AF29" s="12"/>
    </row>
    <row r="30" spans="1:35" s="64" customFormat="1" ht="23.25" customHeight="1">
      <c r="B30" s="65"/>
      <c r="C30" s="65"/>
      <c r="D30" s="65"/>
      <c r="E30" s="65"/>
      <c r="F30" s="67" t="str">
        <f>+F18</f>
        <v>361044K-404-PC</v>
      </c>
      <c r="G30" s="67" t="str">
        <f>G34</f>
        <v>404 BANK BLUE</v>
      </c>
      <c r="H30" s="30">
        <f>+H18</f>
        <v>4500457758</v>
      </c>
      <c r="I30" s="70">
        <f>+I18*$D$18</f>
        <v>0</v>
      </c>
      <c r="J30" s="70">
        <f t="shared" ref="J30:O30" si="14">+J18*$D$18</f>
        <v>0</v>
      </c>
      <c r="K30" s="70">
        <f t="shared" si="14"/>
        <v>126</v>
      </c>
      <c r="L30" s="70">
        <f t="shared" si="14"/>
        <v>0</v>
      </c>
      <c r="M30" s="70">
        <f t="shared" si="14"/>
        <v>0</v>
      </c>
      <c r="N30" s="70">
        <f t="shared" si="14"/>
        <v>0</v>
      </c>
      <c r="O30" s="70">
        <f t="shared" si="14"/>
        <v>0</v>
      </c>
      <c r="P30" s="70" t="e">
        <f>+#REF!</f>
        <v>#REF!</v>
      </c>
      <c r="Q30" s="70" t="e">
        <f>+#REF!</f>
        <v>#REF!</v>
      </c>
      <c r="R30" s="70" t="e">
        <f>+#REF!</f>
        <v>#REF!</v>
      </c>
      <c r="S30" s="71">
        <f t="shared" si="12"/>
        <v>126</v>
      </c>
      <c r="T30" s="62"/>
      <c r="U30" s="62"/>
      <c r="V30" s="62"/>
      <c r="W30" s="62"/>
      <c r="X30" s="62"/>
      <c r="Y30" s="61"/>
      <c r="AC30" s="12"/>
      <c r="AD30" s="61"/>
      <c r="AE30" s="12"/>
    </row>
    <row r="31" spans="1:35" s="64" customFormat="1" ht="23.25" customHeight="1">
      <c r="B31" s="65"/>
      <c r="C31" s="65"/>
      <c r="D31" s="65"/>
      <c r="E31" s="65"/>
      <c r="F31" s="67" t="str">
        <f>+F30</f>
        <v>361044K-404-PC</v>
      </c>
      <c r="G31" s="67" t="str">
        <f t="shared" ref="G31:H31" si="15">+G30</f>
        <v>404 BANK BLUE</v>
      </c>
      <c r="H31" s="30">
        <f t="shared" si="15"/>
        <v>4500457758</v>
      </c>
      <c r="I31" s="70">
        <f>+I19*$D$19</f>
        <v>0</v>
      </c>
      <c r="J31" s="70">
        <f t="shared" ref="J31:O31" si="16">+J19*$D$19</f>
        <v>0</v>
      </c>
      <c r="K31" s="70">
        <f t="shared" si="16"/>
        <v>0</v>
      </c>
      <c r="L31" s="70">
        <f t="shared" si="16"/>
        <v>138</v>
      </c>
      <c r="M31" s="70">
        <f t="shared" si="16"/>
        <v>0</v>
      </c>
      <c r="N31" s="70">
        <f t="shared" si="16"/>
        <v>0</v>
      </c>
      <c r="O31" s="70">
        <f t="shared" si="16"/>
        <v>0</v>
      </c>
      <c r="P31" s="70" t="e">
        <f>+#REF!</f>
        <v>#REF!</v>
      </c>
      <c r="Q31" s="70" t="e">
        <f>+#REF!</f>
        <v>#REF!</v>
      </c>
      <c r="R31" s="70" t="e">
        <f>+#REF!</f>
        <v>#REF!</v>
      </c>
      <c r="S31" s="71">
        <f t="shared" si="12"/>
        <v>138</v>
      </c>
      <c r="T31" s="62"/>
      <c r="U31" s="62"/>
      <c r="V31" s="62"/>
      <c r="W31" s="62"/>
      <c r="X31" s="62"/>
      <c r="Y31" s="61"/>
      <c r="AC31" s="61"/>
      <c r="AD31" s="61"/>
      <c r="AE31" s="12"/>
      <c r="AF31" s="12"/>
    </row>
    <row r="32" spans="1:35" s="64" customFormat="1" ht="23.25" customHeight="1">
      <c r="B32" s="65"/>
      <c r="C32" s="65"/>
      <c r="D32" s="65"/>
      <c r="E32" s="65"/>
      <c r="F32" s="67" t="str">
        <f>+F28</f>
        <v>361044K-404-PC</v>
      </c>
      <c r="G32" s="67" t="str">
        <f t="shared" ref="G32:H32" si="17">+G28</f>
        <v>404 BANK BLUE</v>
      </c>
      <c r="H32" s="30">
        <f t="shared" si="17"/>
        <v>4500457758</v>
      </c>
      <c r="I32" s="70">
        <f>+I20*$D$20</f>
        <v>0</v>
      </c>
      <c r="J32" s="70">
        <f t="shared" ref="J32:O32" si="18">+J20*$D$20</f>
        <v>0</v>
      </c>
      <c r="K32" s="70">
        <f t="shared" si="18"/>
        <v>0</v>
      </c>
      <c r="L32" s="70">
        <f t="shared" si="18"/>
        <v>0</v>
      </c>
      <c r="M32" s="70">
        <f t="shared" si="18"/>
        <v>174</v>
      </c>
      <c r="N32" s="70">
        <f t="shared" si="18"/>
        <v>0</v>
      </c>
      <c r="O32" s="70">
        <f t="shared" si="18"/>
        <v>0</v>
      </c>
      <c r="P32" s="70" t="e">
        <f>+#REF!</f>
        <v>#REF!</v>
      </c>
      <c r="Q32" s="70" t="e">
        <f>+#REF!</f>
        <v>#REF!</v>
      </c>
      <c r="R32" s="70" t="e">
        <f>+#REF!</f>
        <v>#REF!</v>
      </c>
      <c r="S32" s="71">
        <f t="shared" si="12"/>
        <v>174</v>
      </c>
      <c r="T32" s="62"/>
      <c r="U32" s="62"/>
      <c r="V32" s="62"/>
      <c r="W32" s="62"/>
      <c r="X32" s="62"/>
      <c r="Y32" s="61"/>
      <c r="AC32" s="61"/>
      <c r="AD32" s="61"/>
      <c r="AE32" s="12"/>
      <c r="AF32" s="12"/>
    </row>
    <row r="33" spans="1:32" s="64" customFormat="1" ht="23.25" customHeight="1">
      <c r="B33" s="65"/>
      <c r="C33" s="65"/>
      <c r="D33" s="65"/>
      <c r="E33" s="65"/>
      <c r="F33" s="67" t="str">
        <f>+F21</f>
        <v>361044K-404-PC</v>
      </c>
      <c r="G33" s="67" t="str">
        <f>+G21</f>
        <v>404 BANK BLUE</v>
      </c>
      <c r="H33" s="30">
        <f>+H21</f>
        <v>4500457758</v>
      </c>
      <c r="I33" s="70">
        <f>+I21*$D$21</f>
        <v>0</v>
      </c>
      <c r="J33" s="70">
        <f t="shared" ref="J33:O33" si="19">+J21*$D$21</f>
        <v>0</v>
      </c>
      <c r="K33" s="70">
        <f t="shared" si="19"/>
        <v>0</v>
      </c>
      <c r="L33" s="70">
        <f t="shared" si="19"/>
        <v>0</v>
      </c>
      <c r="M33" s="70">
        <f t="shared" si="19"/>
        <v>0</v>
      </c>
      <c r="N33" s="70">
        <f t="shared" si="19"/>
        <v>216</v>
      </c>
      <c r="O33" s="70">
        <f t="shared" si="19"/>
        <v>0</v>
      </c>
      <c r="P33" s="70" t="e">
        <f>+#REF!</f>
        <v>#REF!</v>
      </c>
      <c r="Q33" s="70" t="e">
        <f>+#REF!</f>
        <v>#REF!</v>
      </c>
      <c r="R33" s="70" t="e">
        <f>+#REF!</f>
        <v>#REF!</v>
      </c>
      <c r="S33" s="71">
        <f t="shared" si="12"/>
        <v>216</v>
      </c>
      <c r="T33" s="62"/>
      <c r="U33" s="62"/>
      <c r="V33" s="62"/>
      <c r="W33" s="62"/>
      <c r="X33" s="62"/>
      <c r="Y33" s="61"/>
      <c r="AC33" s="12"/>
      <c r="AD33" s="61"/>
      <c r="AE33" s="12"/>
    </row>
    <row r="34" spans="1:32" s="64" customFormat="1" ht="23.25" customHeight="1">
      <c r="B34" s="65"/>
      <c r="C34" s="65"/>
      <c r="D34" s="65"/>
      <c r="E34" s="65"/>
      <c r="F34" s="67" t="str">
        <f>+F33</f>
        <v>361044K-404-PC</v>
      </c>
      <c r="G34" s="67" t="str">
        <f t="shared" ref="G34:H34" si="20">+G33</f>
        <v>404 BANK BLUE</v>
      </c>
      <c r="H34" s="30">
        <f t="shared" si="20"/>
        <v>4500457758</v>
      </c>
      <c r="I34" s="70">
        <f>+I22*$D$22</f>
        <v>0</v>
      </c>
      <c r="J34" s="70">
        <f t="shared" ref="J34:O34" si="21">+J22*$D$22</f>
        <v>0</v>
      </c>
      <c r="K34" s="70">
        <f t="shared" si="21"/>
        <v>0</v>
      </c>
      <c r="L34" s="70">
        <f t="shared" si="21"/>
        <v>0</v>
      </c>
      <c r="M34" s="70">
        <f t="shared" si="21"/>
        <v>0</v>
      </c>
      <c r="N34" s="70">
        <f t="shared" si="21"/>
        <v>0</v>
      </c>
      <c r="O34" s="70">
        <f t="shared" si="21"/>
        <v>222</v>
      </c>
      <c r="P34" s="70" t="e">
        <f>+#REF!</f>
        <v>#REF!</v>
      </c>
      <c r="Q34" s="70" t="e">
        <f>+#REF!</f>
        <v>#REF!</v>
      </c>
      <c r="R34" s="70" t="e">
        <f>+#REF!</f>
        <v>#REF!</v>
      </c>
      <c r="S34" s="71">
        <f t="shared" si="12"/>
        <v>222</v>
      </c>
      <c r="T34" s="62"/>
      <c r="U34" s="62"/>
      <c r="V34" s="62"/>
      <c r="W34" s="62"/>
      <c r="X34" s="62"/>
      <c r="Y34" s="61"/>
      <c r="AC34" s="61"/>
      <c r="AD34" s="61"/>
      <c r="AE34" s="12"/>
      <c r="AF34" s="12"/>
    </row>
    <row r="35" spans="1:32" s="64" customFormat="1" ht="19.5" customHeight="1">
      <c r="A35" s="62"/>
      <c r="B35" s="62"/>
      <c r="C35" s="62"/>
      <c r="D35" s="62"/>
      <c r="E35" s="62"/>
      <c r="F35" s="62"/>
      <c r="G35" s="332" t="s">
        <v>33</v>
      </c>
      <c r="H35" s="333"/>
      <c r="I35" s="71">
        <f>SUM(I28:I34)</f>
        <v>84</v>
      </c>
      <c r="J35" s="71">
        <f t="shared" ref="J35:O35" si="22">SUM(J28:J34)</f>
        <v>198</v>
      </c>
      <c r="K35" s="71">
        <f t="shared" si="22"/>
        <v>126</v>
      </c>
      <c r="L35" s="71">
        <f t="shared" si="22"/>
        <v>138</v>
      </c>
      <c r="M35" s="71">
        <f t="shared" si="22"/>
        <v>174</v>
      </c>
      <c r="N35" s="71">
        <f t="shared" si="22"/>
        <v>216</v>
      </c>
      <c r="O35" s="71">
        <f t="shared" si="22"/>
        <v>222</v>
      </c>
      <c r="P35" s="71" t="e">
        <f t="shared" ref="P35:R35" si="23">SUM(P33:P33)</f>
        <v>#REF!</v>
      </c>
      <c r="Q35" s="71" t="e">
        <f t="shared" si="23"/>
        <v>#REF!</v>
      </c>
      <c r="R35" s="71" t="e">
        <f t="shared" si="23"/>
        <v>#REF!</v>
      </c>
      <c r="S35" s="71">
        <f>SUM(S28:S34)</f>
        <v>1158</v>
      </c>
      <c r="T35" s="62"/>
      <c r="U35" s="63"/>
      <c r="V35" s="62"/>
      <c r="W35" s="62"/>
      <c r="X35" s="62"/>
      <c r="Y35" s="61"/>
      <c r="AD35" s="61"/>
    </row>
    <row r="36" spans="1:32">
      <c r="X36" s="74"/>
    </row>
    <row r="37" spans="1:32">
      <c r="K37" s="74" t="s">
        <v>0</v>
      </c>
    </row>
    <row r="39" spans="1:32">
      <c r="T39" s="75"/>
      <c r="U39" s="76"/>
      <c r="V39" s="76"/>
      <c r="W39" s="76"/>
    </row>
    <row r="40" spans="1:32">
      <c r="T40" s="76"/>
      <c r="U40" s="76"/>
      <c r="V40" s="76"/>
      <c r="W40" s="76"/>
    </row>
    <row r="41" spans="1:32">
      <c r="T41" s="76"/>
      <c r="U41" s="76"/>
      <c r="V41" s="76"/>
      <c r="W41" s="76"/>
    </row>
    <row r="42" spans="1:32">
      <c r="G42" s="77"/>
      <c r="T42" s="76"/>
      <c r="U42" s="76"/>
      <c r="V42" s="76"/>
      <c r="W42" s="76"/>
    </row>
    <row r="43" spans="1:32">
      <c r="G43" s="78"/>
      <c r="T43" s="76"/>
      <c r="U43" s="76"/>
      <c r="V43" s="76"/>
      <c r="W43" s="76"/>
    </row>
    <row r="44" spans="1:32">
      <c r="G44" s="77"/>
      <c r="H44" s="77"/>
      <c r="U44" s="76"/>
      <c r="V44" s="76"/>
      <c r="W44" s="76"/>
    </row>
  </sheetData>
  <autoFilter ref="A15:DK23">
    <filterColumn colId="0" showButton="0"/>
    <filterColumn colId="1" showButton="0"/>
  </autoFilter>
  <mergeCells count="44">
    <mergeCell ref="G35:H35"/>
    <mergeCell ref="K26:K27"/>
    <mergeCell ref="L26:L27"/>
    <mergeCell ref="M26:M27"/>
    <mergeCell ref="N26:N27"/>
    <mergeCell ref="J26:J27"/>
    <mergeCell ref="F26:F27"/>
    <mergeCell ref="G26:G27"/>
    <mergeCell ref="H26:H27"/>
    <mergeCell ref="I26:I27"/>
    <mergeCell ref="S26:S27"/>
    <mergeCell ref="O26:O27"/>
    <mergeCell ref="P26:R26"/>
    <mergeCell ref="N14:N15"/>
    <mergeCell ref="O14:O15"/>
    <mergeCell ref="P14:P15"/>
    <mergeCell ref="Z13:AB14"/>
    <mergeCell ref="A23:C23"/>
    <mergeCell ref="I14:I15"/>
    <mergeCell ref="J14:J15"/>
    <mergeCell ref="K14:K15"/>
    <mergeCell ref="L14:L15"/>
    <mergeCell ref="M14:M15"/>
    <mergeCell ref="Y13:Y15"/>
    <mergeCell ref="Q14:Q15"/>
    <mergeCell ref="R14:R15"/>
    <mergeCell ref="S13:S15"/>
    <mergeCell ref="T13:T15"/>
    <mergeCell ref="AC13:AC15"/>
    <mergeCell ref="AD13:AD15"/>
    <mergeCell ref="G13:G15"/>
    <mergeCell ref="A1:AB1"/>
    <mergeCell ref="A2:AB2"/>
    <mergeCell ref="A3:AB3"/>
    <mergeCell ref="A4:AB4"/>
    <mergeCell ref="A6:AB6"/>
    <mergeCell ref="D10:G10"/>
    <mergeCell ref="C12:D12"/>
    <mergeCell ref="A13:C15"/>
    <mergeCell ref="D13:D15"/>
    <mergeCell ref="E13:E15"/>
    <mergeCell ref="F13:F15"/>
    <mergeCell ref="H13:H15"/>
    <mergeCell ref="I13:R13"/>
  </mergeCells>
  <printOptions horizontalCentered="1"/>
  <pageMargins left="0" right="0" top="0" bottom="0" header="0" footer="0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50</vt:i4>
      </vt:variant>
    </vt:vector>
  </HeadingPairs>
  <TitlesOfParts>
    <vt:vector size="102" baseType="lpstr">
      <vt:lpstr>AIR</vt:lpstr>
      <vt:lpstr>25K8J0095N-022-PC</vt:lpstr>
      <vt:lpstr>25K8J0095N-001-PC</vt:lpstr>
      <vt:lpstr>25K4J0095N-022-PC</vt:lpstr>
      <vt:lpstr>25K4J0095N-001-PC</vt:lpstr>
      <vt:lpstr>36TBSDD11F-410 2796pcs</vt:lpstr>
      <vt:lpstr>4603pcs</vt:lpstr>
      <vt:lpstr>17179pcs</vt:lpstr>
      <vt:lpstr>BHPC</vt:lpstr>
      <vt:lpstr>Mens ghile item 01</vt:lpstr>
      <vt:lpstr>Mens Coat item 02</vt:lpstr>
      <vt:lpstr>Padding item 04</vt:lpstr>
      <vt:lpstr>Ladies Vest item 05</vt:lpstr>
      <vt:lpstr>Ladies Shirt-Blouse item 06&amp;19</vt:lpstr>
      <vt:lpstr>Children Shirt item 07</vt:lpstr>
      <vt:lpstr>Children Suit-Pant item 08&amp;11</vt:lpstr>
      <vt:lpstr>Children Pant Jean item 09</vt:lpstr>
      <vt:lpstr>Children Pants item 10</vt:lpstr>
      <vt:lpstr>Children Skirt item 12</vt:lpstr>
      <vt:lpstr>JKT item 13</vt:lpstr>
      <vt:lpstr>Mens Pant item 14&amp;15</vt:lpstr>
      <vt:lpstr>Mens Short item 16</vt:lpstr>
      <vt:lpstr>Ladies Coat item 17</vt:lpstr>
      <vt:lpstr>Ladies JKT item 18</vt:lpstr>
      <vt:lpstr>FAM item 20</vt:lpstr>
      <vt:lpstr>Ladies Pants items 21&amp;22</vt:lpstr>
      <vt:lpstr>BHPC Pants item 27</vt:lpstr>
      <vt:lpstr>Men Blazer size 38</vt:lpstr>
      <vt:lpstr>Men Blazer size 34-36</vt:lpstr>
      <vt:lpstr>Men Blazer size 40</vt:lpstr>
      <vt:lpstr>Men Blazer size 42</vt:lpstr>
      <vt:lpstr>Men Blazer size 44</vt:lpstr>
      <vt:lpstr>Men Blazer size 48</vt:lpstr>
      <vt:lpstr>Men Blazer size 46</vt:lpstr>
      <vt:lpstr>Men Blazer size 50</vt:lpstr>
      <vt:lpstr>Men Blazer size 52</vt:lpstr>
      <vt:lpstr>Men Blazer size 54</vt:lpstr>
      <vt:lpstr>Men Blazer size 56-58-60-NO</vt:lpstr>
      <vt:lpstr>Men Blazer size 56-58-60-NO (2</vt:lpstr>
      <vt:lpstr>36TBSDD11F-410 2004pcs ECM</vt:lpstr>
      <vt:lpstr>36K821301-001 ECM</vt:lpstr>
      <vt:lpstr>36K8J0027-421-1992pcs</vt:lpstr>
      <vt:lpstr>36K8J0027-421-1200pcs</vt:lpstr>
      <vt:lpstr>36K8J0045-001-7992pcs</vt:lpstr>
      <vt:lpstr>36K8J0045-001-1980pcs</vt:lpstr>
      <vt:lpstr>36K8J0045-022-2400pcs</vt:lpstr>
      <vt:lpstr>36K8J0045-022-1176pcs</vt:lpstr>
      <vt:lpstr>Sheet2</vt:lpstr>
      <vt:lpstr>361043K-404-PC</vt:lpstr>
      <vt:lpstr>361043K-404-PC (2)</vt:lpstr>
      <vt:lpstr>361044K-404-PC</vt:lpstr>
      <vt:lpstr>361044K-404-PC (2)</vt:lpstr>
      <vt:lpstr>'17179pcs'!Print_Area</vt:lpstr>
      <vt:lpstr>'25K4J0095N-001-PC'!Print_Area</vt:lpstr>
      <vt:lpstr>'25K4J0095N-022-PC'!Print_Area</vt:lpstr>
      <vt:lpstr>'25K8J0095N-001-PC'!Print_Area</vt:lpstr>
      <vt:lpstr>'25K8J0095N-022-PC'!Print_Area</vt:lpstr>
      <vt:lpstr>'361043K-404-PC'!Print_Area</vt:lpstr>
      <vt:lpstr>'361043K-404-PC (2)'!Print_Area</vt:lpstr>
      <vt:lpstr>'361044K-404-PC'!Print_Area</vt:lpstr>
      <vt:lpstr>'361044K-404-PC (2)'!Print_Area</vt:lpstr>
      <vt:lpstr>'36K821301-001 ECM'!Print_Area</vt:lpstr>
      <vt:lpstr>'36K8J0027-421-1200pcs'!Print_Area</vt:lpstr>
      <vt:lpstr>'36K8J0027-421-1992pcs'!Print_Area</vt:lpstr>
      <vt:lpstr>'36K8J0045-001-1980pcs'!Print_Area</vt:lpstr>
      <vt:lpstr>'36K8J0045-001-7992pcs'!Print_Area</vt:lpstr>
      <vt:lpstr>'36K8J0045-022-1176pcs'!Print_Area</vt:lpstr>
      <vt:lpstr>'36K8J0045-022-2400pcs'!Print_Area</vt:lpstr>
      <vt:lpstr>'36TBSDD11F-410 2004pcs ECM'!Print_Area</vt:lpstr>
      <vt:lpstr>'36TBSDD11F-410 2796pcs'!Print_Area</vt:lpstr>
      <vt:lpstr>'4603pcs'!Print_Area</vt:lpstr>
      <vt:lpstr>AIR!Print_Area</vt:lpstr>
      <vt:lpstr>'BHPC Pants item 27'!Print_Area</vt:lpstr>
      <vt:lpstr>'Children Pant Jean item 09'!Print_Area</vt:lpstr>
      <vt:lpstr>'Children Pants item 10'!Print_Area</vt:lpstr>
      <vt:lpstr>'Children Shirt item 07'!Print_Area</vt:lpstr>
      <vt:lpstr>'Children Skirt item 12'!Print_Area</vt:lpstr>
      <vt:lpstr>'Children Suit-Pant item 08&amp;11'!Print_Area</vt:lpstr>
      <vt:lpstr>'FAM item 20'!Print_Area</vt:lpstr>
      <vt:lpstr>'JKT item 13'!Print_Area</vt:lpstr>
      <vt:lpstr>'Ladies Coat item 17'!Print_Area</vt:lpstr>
      <vt:lpstr>'Ladies JKT item 18'!Print_Area</vt:lpstr>
      <vt:lpstr>'Ladies Pants items 21&amp;22'!Print_Area</vt:lpstr>
      <vt:lpstr>'Ladies Shirt-Blouse item 06&amp;19'!Print_Area</vt:lpstr>
      <vt:lpstr>'Ladies Vest item 05'!Print_Area</vt:lpstr>
      <vt:lpstr>'Men Blazer size 34-36'!Print_Area</vt:lpstr>
      <vt:lpstr>'Men Blazer size 38'!Print_Area</vt:lpstr>
      <vt:lpstr>'Men Blazer size 40'!Print_Area</vt:lpstr>
      <vt:lpstr>'Men Blazer size 42'!Print_Area</vt:lpstr>
      <vt:lpstr>'Men Blazer size 44'!Print_Area</vt:lpstr>
      <vt:lpstr>'Men Blazer size 46'!Print_Area</vt:lpstr>
      <vt:lpstr>'Men Blazer size 48'!Print_Area</vt:lpstr>
      <vt:lpstr>'Men Blazer size 50'!Print_Area</vt:lpstr>
      <vt:lpstr>'Men Blazer size 52'!Print_Area</vt:lpstr>
      <vt:lpstr>'Men Blazer size 54'!Print_Area</vt:lpstr>
      <vt:lpstr>'Men Blazer size 56-58-60-NO'!Print_Area</vt:lpstr>
      <vt:lpstr>'Men Blazer size 56-58-60-NO (2'!Print_Area</vt:lpstr>
      <vt:lpstr>'Mens Coat item 02'!Print_Area</vt:lpstr>
      <vt:lpstr>'Mens ghile item 01'!Print_Area</vt:lpstr>
      <vt:lpstr>'Mens Pant item 14&amp;15'!Print_Area</vt:lpstr>
      <vt:lpstr>'Mens Short item 16'!Print_Area</vt:lpstr>
      <vt:lpstr>'Padding item 04'!Print_Area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2024-06-07T04:31:29Z</cp:lastPrinted>
  <dcterms:created xsi:type="dcterms:W3CDTF">2020-08-31T04:12:05Z</dcterms:created>
  <dcterms:modified xsi:type="dcterms:W3CDTF">2025-02-13T08:43:32Z</dcterms:modified>
</cp:coreProperties>
</file>